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5480" windowHeight="11640" activeTab="9"/>
  </bookViews>
  <sheets>
    <sheet name="Feuil1" sheetId="1" r:id="rId1"/>
    <sheet name="Feuil2" sheetId="2" r:id="rId2"/>
    <sheet name="Feuil3" sheetId="3" r:id="rId3"/>
    <sheet name="Feuil5" sheetId="5" r:id="rId4"/>
    <sheet name="Feuil4" sheetId="4" r:id="rId5"/>
    <sheet name="Budget" sheetId="6" r:id="rId6"/>
    <sheet name="Personnel" sheetId="7" r:id="rId7"/>
    <sheet name="COnsommables" sheetId="8" r:id="rId8"/>
    <sheet name="Services" sheetId="9" r:id="rId9"/>
    <sheet name="Electricité" sheetId="10" r:id="rId10"/>
  </sheets>
  <calcPr calcId="125725"/>
</workbook>
</file>

<file path=xl/calcChain.xml><?xml version="1.0" encoding="utf-8"?>
<calcChain xmlns="http://schemas.openxmlformats.org/spreadsheetml/2006/main">
  <c r="AN25" i="9"/>
  <c r="AF25" i="8"/>
  <c r="AM22" i="9"/>
  <c r="AM25" s="1"/>
  <c r="AL25"/>
  <c r="AK25"/>
  <c r="AI25"/>
  <c r="AH25"/>
  <c r="AF20"/>
  <c r="AJ19"/>
  <c r="AJ25" s="1"/>
  <c r="AF19"/>
  <c r="AF25" s="1"/>
  <c r="AG18"/>
  <c r="AG25" s="1"/>
  <c r="AE25" i="8"/>
  <c r="AE17" i="9"/>
  <c r="AE25" s="1"/>
  <c r="AD23" i="8"/>
  <c r="AD18"/>
  <c r="AD17" i="9"/>
  <c r="AD16"/>
  <c r="AC17"/>
  <c r="AC25" s="1"/>
  <c r="AB16"/>
  <c r="AB25" s="1"/>
  <c r="AC25" i="8"/>
  <c r="AA25" i="9"/>
  <c r="AB25" i="8"/>
  <c r="AA25"/>
  <c r="Z25"/>
  <c r="X25"/>
  <c r="V25"/>
  <c r="W17"/>
  <c r="Y16"/>
  <c r="Y15"/>
  <c r="W14"/>
  <c r="W25" s="1"/>
  <c r="Z25" i="9"/>
  <c r="U25" i="8"/>
  <c r="X20" i="9"/>
  <c r="X15"/>
  <c r="X14"/>
  <c r="Y13"/>
  <c r="Y25" s="1"/>
  <c r="X13"/>
  <c r="T25" i="8"/>
  <c r="W23" i="9"/>
  <c r="W20"/>
  <c r="W18"/>
  <c r="W17"/>
  <c r="W16"/>
  <c r="W15"/>
  <c r="W14"/>
  <c r="W12"/>
  <c r="V12"/>
  <c r="V25" s="1"/>
  <c r="S15" i="8"/>
  <c r="S25" s="1"/>
  <c r="U25" i="9"/>
  <c r="T12"/>
  <c r="T25" s="1"/>
  <c r="S15"/>
  <c r="S11"/>
  <c r="S10"/>
  <c r="R9" i="8"/>
  <c r="R25" s="1"/>
  <c r="R10" i="9"/>
  <c r="R9"/>
  <c r="Q18"/>
  <c r="Q17"/>
  <c r="O22" i="8"/>
  <c r="Q17"/>
  <c r="Q12"/>
  <c r="Q9"/>
  <c r="P9"/>
  <c r="P25" s="1"/>
  <c r="O9"/>
  <c r="N8"/>
  <c r="N25" s="1"/>
  <c r="P25" i="9"/>
  <c r="P8"/>
  <c r="O25"/>
  <c r="M25" i="8"/>
  <c r="N8" i="9"/>
  <c r="N7"/>
  <c r="L25" i="8"/>
  <c r="M25" i="9"/>
  <c r="L25"/>
  <c r="L7"/>
  <c r="K9" i="8"/>
  <c r="K8"/>
  <c r="K25" i="9"/>
  <c r="J12"/>
  <c r="J9"/>
  <c r="I10"/>
  <c r="I8"/>
  <c r="I7"/>
  <c r="J9" i="8"/>
  <c r="J8"/>
  <c r="H25" i="9"/>
  <c r="G10"/>
  <c r="G25" s="1"/>
  <c r="I25" i="8"/>
  <c r="F17" i="9"/>
  <c r="F14"/>
  <c r="F12"/>
  <c r="F11"/>
  <c r="F9"/>
  <c r="I25" l="1"/>
  <c r="S25"/>
  <c r="K25" i="8"/>
  <c r="AD25"/>
  <c r="J25"/>
  <c r="O25"/>
  <c r="Q25"/>
  <c r="Y25"/>
  <c r="F25" i="9"/>
  <c r="J25"/>
  <c r="N25"/>
  <c r="Q25"/>
  <c r="R25"/>
  <c r="W25"/>
  <c r="X25"/>
  <c r="AD25"/>
  <c r="G25" i="8"/>
  <c r="H10"/>
  <c r="H9"/>
  <c r="H7"/>
  <c r="H25" s="1"/>
  <c r="F9"/>
  <c r="F8"/>
  <c r="F7"/>
  <c r="E7"/>
  <c r="E25" s="1"/>
  <c r="E11" i="9"/>
  <c r="E10"/>
  <c r="E25" s="1"/>
  <c r="D25" i="8"/>
  <c r="C10"/>
  <c r="C8"/>
  <c r="C6"/>
  <c r="C25" s="1"/>
  <c r="D10" i="9"/>
  <c r="D8"/>
  <c r="D25" s="1"/>
  <c r="D6"/>
  <c r="B14" i="8"/>
  <c r="B9"/>
  <c r="B8"/>
  <c r="B7"/>
  <c r="B6"/>
  <c r="C21" i="9"/>
  <c r="C18"/>
  <c r="C17"/>
  <c r="C16"/>
  <c r="C10"/>
  <c r="C8"/>
  <c r="C25" s="1"/>
  <c r="B14"/>
  <c r="B12"/>
  <c r="B8"/>
  <c r="B7"/>
  <c r="C19" i="10"/>
  <c r="C18"/>
  <c r="C16"/>
  <c r="C15"/>
  <c r="B32"/>
  <c r="B14"/>
  <c r="L34" i="7"/>
  <c r="H34"/>
  <c r="G34"/>
  <c r="F34"/>
  <c r="D34"/>
  <c r="C34"/>
  <c r="K27"/>
  <c r="K34" s="1"/>
  <c r="I27"/>
  <c r="I26"/>
  <c r="J25"/>
  <c r="I25"/>
  <c r="I24"/>
  <c r="I22"/>
  <c r="J21"/>
  <c r="I21"/>
  <c r="I20"/>
  <c r="J19"/>
  <c r="J34" s="1"/>
  <c r="I19"/>
  <c r="I18"/>
  <c r="I17"/>
  <c r="I16"/>
  <c r="B16"/>
  <c r="I15"/>
  <c r="B15"/>
  <c r="I14"/>
  <c r="I34" s="1"/>
  <c r="E14"/>
  <c r="E34" s="1"/>
  <c r="B14"/>
  <c r="I13"/>
  <c r="B13"/>
  <c r="B12"/>
  <c r="BB34" i="1"/>
  <c r="CS34"/>
  <c r="CR34"/>
  <c r="CI34"/>
  <c r="CJ34"/>
  <c r="CJ36"/>
  <c r="CP34"/>
  <c r="CO34"/>
  <c r="CM34"/>
  <c r="CL34"/>
  <c r="CF33"/>
  <c r="BT34"/>
  <c r="DE31"/>
  <c r="DD31"/>
  <c r="DB31"/>
  <c r="DA31"/>
  <c r="CP33"/>
  <c r="CO33"/>
  <c r="CM33"/>
  <c r="CL33"/>
  <c r="CY31"/>
  <c r="CX31"/>
  <c r="DQ22"/>
  <c r="DN22"/>
  <c r="DM22"/>
  <c r="ER21"/>
  <c r="CI33"/>
  <c r="CJ33"/>
  <c r="CF36"/>
  <c r="CV31"/>
  <c r="CU31"/>
  <c r="CS31"/>
  <c r="CR31"/>
  <c r="DW29"/>
  <c r="DV29"/>
  <c r="FP23"/>
  <c r="FO23"/>
  <c r="AQ33"/>
  <c r="M32"/>
  <c r="CJ32"/>
  <c r="DT29"/>
  <c r="DS29"/>
  <c r="CS30"/>
  <c r="CR30"/>
  <c r="CP31"/>
  <c r="CO31"/>
  <c r="CP30"/>
  <c r="CO30"/>
  <c r="CM30"/>
  <c r="CL30"/>
  <c r="DQ29"/>
  <c r="CI32"/>
  <c r="K3"/>
  <c r="BX31"/>
  <c r="CM31"/>
  <c r="CL31"/>
  <c r="BB31"/>
  <c r="DN29"/>
  <c r="DM29"/>
  <c r="DK29"/>
  <c r="DJ29"/>
  <c r="DH29"/>
  <c r="DG29"/>
  <c r="DE29"/>
  <c r="DD29"/>
  <c r="DB29"/>
  <c r="DA29"/>
  <c r="CY29"/>
  <c r="CX29"/>
  <c r="CV29"/>
  <c r="CU29"/>
  <c r="EC26"/>
  <c r="EB26"/>
  <c r="CI31"/>
  <c r="CJ31"/>
  <c r="CE36"/>
  <c r="BD31"/>
  <c r="BD2"/>
  <c r="CD36"/>
  <c r="CI30"/>
  <c r="CJ30"/>
  <c r="CS29"/>
  <c r="CR29"/>
  <c r="CP29"/>
  <c r="CO29"/>
  <c r="DW28"/>
  <c r="DV28"/>
  <c r="DZ26"/>
  <c r="DY26"/>
  <c r="DW26"/>
  <c r="DV26"/>
  <c r="CB30"/>
  <c r="CB36"/>
  <c r="BX30"/>
  <c r="DT28"/>
  <c r="DS28"/>
  <c r="DQ28"/>
  <c r="DP28"/>
  <c r="DN28"/>
  <c r="DM28"/>
  <c r="DK28"/>
  <c r="DJ28"/>
  <c r="DH28"/>
  <c r="DG28"/>
  <c r="DE28"/>
  <c r="DD28"/>
  <c r="CM29"/>
  <c r="CL29"/>
  <c r="CI29"/>
  <c r="DB28"/>
  <c r="CC36"/>
  <c r="K29"/>
  <c r="K36"/>
  <c r="I29"/>
  <c r="BY29"/>
  <c r="M29"/>
  <c r="BB29"/>
  <c r="BT29"/>
  <c r="DS26"/>
  <c r="DT26"/>
  <c r="DZ27"/>
  <c r="DY27"/>
  <c r="DT27"/>
  <c r="DS27"/>
  <c r="DQ27"/>
  <c r="DP27"/>
  <c r="CP28"/>
  <c r="CO28"/>
  <c r="DN27"/>
  <c r="CA36"/>
  <c r="EH25"/>
  <c r="EI25"/>
  <c r="AT29"/>
  <c r="W25" i="2"/>
  <c r="BX36" i="1"/>
  <c r="BY36"/>
  <c r="BZ36"/>
  <c r="BX2"/>
  <c r="BY2"/>
  <c r="AJ17" i="2"/>
  <c r="AJ20"/>
  <c r="AJ21"/>
  <c r="AJ22"/>
  <c r="AJ23"/>
  <c r="AJ24"/>
  <c r="AJ25"/>
  <c r="U12"/>
  <c r="U13"/>
  <c r="U16"/>
  <c r="U17"/>
  <c r="U18"/>
  <c r="U20"/>
  <c r="U22"/>
  <c r="U23"/>
  <c r="U24"/>
  <c r="U25"/>
  <c r="V14"/>
  <c r="V16"/>
  <c r="V18"/>
  <c r="V19"/>
  <c r="V20"/>
  <c r="V21"/>
  <c r="V22"/>
  <c r="V23"/>
  <c r="V24"/>
  <c r="V25"/>
  <c r="W16"/>
  <c r="W17"/>
  <c r="W27" s="1"/>
  <c r="W18"/>
  <c r="W19"/>
  <c r="W20"/>
  <c r="W21"/>
  <c r="W22"/>
  <c r="W23"/>
  <c r="X11"/>
  <c r="X12"/>
  <c r="X13"/>
  <c r="X16"/>
  <c r="X19"/>
  <c r="X20"/>
  <c r="X21"/>
  <c r="Y16"/>
  <c r="Y18"/>
  <c r="Y19"/>
  <c r="Y20"/>
  <c r="Y21"/>
  <c r="Y22"/>
  <c r="Y23"/>
  <c r="Y24"/>
  <c r="Y25"/>
  <c r="Z13"/>
  <c r="Z14"/>
  <c r="Z15"/>
  <c r="Z16"/>
  <c r="Z27" s="1"/>
  <c r="Z19"/>
  <c r="Z20"/>
  <c r="Z21"/>
  <c r="Z22"/>
  <c r="Z23"/>
  <c r="Z24"/>
  <c r="Z25"/>
  <c r="AA15"/>
  <c r="AA16"/>
  <c r="AA17"/>
  <c r="AA18"/>
  <c r="AA19"/>
  <c r="AA20"/>
  <c r="AA21"/>
  <c r="AA22"/>
  <c r="AA23"/>
  <c r="AA24"/>
  <c r="AA25"/>
  <c r="AB14"/>
  <c r="AB15"/>
  <c r="AB17"/>
  <c r="AB18"/>
  <c r="AB20"/>
  <c r="AB21"/>
  <c r="AB22"/>
  <c r="AB23"/>
  <c r="AB24"/>
  <c r="AB25"/>
  <c r="AC17"/>
  <c r="AC19"/>
  <c r="AC20"/>
  <c r="AC21"/>
  <c r="AC22"/>
  <c r="AC23"/>
  <c r="AC24"/>
  <c r="AC25"/>
  <c r="AD14"/>
  <c r="AD15"/>
  <c r="AD17"/>
  <c r="AD20"/>
  <c r="AD22"/>
  <c r="AD23"/>
  <c r="AD25"/>
  <c r="AE14"/>
  <c r="AE27" s="1"/>
  <c r="AE15"/>
  <c r="AE16"/>
  <c r="AE17"/>
  <c r="AE18"/>
  <c r="AE19"/>
  <c r="AE20"/>
  <c r="AE21"/>
  <c r="AE22"/>
  <c r="AE23"/>
  <c r="AE24"/>
  <c r="AE25"/>
  <c r="AF14"/>
  <c r="AF17"/>
  <c r="AF18"/>
  <c r="AF19"/>
  <c r="AF20"/>
  <c r="AF21"/>
  <c r="AF22"/>
  <c r="AF23"/>
  <c r="AF24"/>
  <c r="AF25"/>
  <c r="AG14"/>
  <c r="AG15"/>
  <c r="AG16"/>
  <c r="AG18"/>
  <c r="AG19"/>
  <c r="AG20"/>
  <c r="AG21"/>
  <c r="AG22"/>
  <c r="AG23"/>
  <c r="AG24"/>
  <c r="AG25"/>
  <c r="AH20"/>
  <c r="AH21"/>
  <c r="AH22"/>
  <c r="AH23"/>
  <c r="AH24"/>
  <c r="AH25"/>
  <c r="AI25"/>
  <c r="D12"/>
  <c r="D17"/>
  <c r="D18"/>
  <c r="D19"/>
  <c r="D20"/>
  <c r="D22"/>
  <c r="D23"/>
  <c r="D24"/>
  <c r="D25"/>
  <c r="E18"/>
  <c r="E19"/>
  <c r="E20"/>
  <c r="E21"/>
  <c r="E22"/>
  <c r="E23"/>
  <c r="E24"/>
  <c r="E25"/>
  <c r="F14"/>
  <c r="F17"/>
  <c r="F18"/>
  <c r="F19"/>
  <c r="F20"/>
  <c r="F21"/>
  <c r="F22"/>
  <c r="F23"/>
  <c r="F24"/>
  <c r="F25"/>
  <c r="G14"/>
  <c r="G17"/>
  <c r="G18"/>
  <c r="G19"/>
  <c r="G20"/>
  <c r="G21"/>
  <c r="G22"/>
  <c r="G23"/>
  <c r="G24"/>
  <c r="G25"/>
  <c r="H15"/>
  <c r="H16"/>
  <c r="H17"/>
  <c r="H18"/>
  <c r="H19"/>
  <c r="H20"/>
  <c r="H21"/>
  <c r="H22"/>
  <c r="H23"/>
  <c r="H24"/>
  <c r="H25"/>
  <c r="I15"/>
  <c r="I18"/>
  <c r="I19"/>
  <c r="I20"/>
  <c r="I21"/>
  <c r="I22"/>
  <c r="I23"/>
  <c r="I24"/>
  <c r="I25"/>
  <c r="J14"/>
  <c r="J15"/>
  <c r="J16"/>
  <c r="J17"/>
  <c r="J18"/>
  <c r="J19"/>
  <c r="J20"/>
  <c r="J21"/>
  <c r="J22"/>
  <c r="J23"/>
  <c r="J24"/>
  <c r="J25"/>
  <c r="K15"/>
  <c r="K16"/>
  <c r="K17"/>
  <c r="K18"/>
  <c r="K19"/>
  <c r="K20"/>
  <c r="K21"/>
  <c r="K22"/>
  <c r="K23"/>
  <c r="K24"/>
  <c r="K25"/>
  <c r="L14"/>
  <c r="L15"/>
  <c r="L16"/>
  <c r="L27" s="1"/>
  <c r="L17"/>
  <c r="L18"/>
  <c r="L19"/>
  <c r="L20"/>
  <c r="L21"/>
  <c r="L22"/>
  <c r="L23"/>
  <c r="L24"/>
  <c r="L25"/>
  <c r="M17"/>
  <c r="M18"/>
  <c r="M20"/>
  <c r="M21"/>
  <c r="M22"/>
  <c r="M23"/>
  <c r="M25"/>
  <c r="N16"/>
  <c r="N17"/>
  <c r="N18"/>
  <c r="N19"/>
  <c r="N20"/>
  <c r="N21"/>
  <c r="N22"/>
  <c r="N23"/>
  <c r="N24"/>
  <c r="N25"/>
  <c r="O15"/>
  <c r="O17"/>
  <c r="O18"/>
  <c r="O19"/>
  <c r="O20"/>
  <c r="O21"/>
  <c r="O22"/>
  <c r="O23"/>
  <c r="O24"/>
  <c r="O25"/>
  <c r="P14"/>
  <c r="P15"/>
  <c r="P27" s="1"/>
  <c r="P16"/>
  <c r="P17"/>
  <c r="P18"/>
  <c r="P19"/>
  <c r="P20"/>
  <c r="P21"/>
  <c r="P22"/>
  <c r="P23"/>
  <c r="P24"/>
  <c r="P25"/>
  <c r="Q17"/>
  <c r="Q18"/>
  <c r="Q19"/>
  <c r="Q20"/>
  <c r="Q21"/>
  <c r="Q22"/>
  <c r="Q23"/>
  <c r="Q24"/>
  <c r="Q25"/>
  <c r="R17"/>
  <c r="R18"/>
  <c r="R19"/>
  <c r="R20"/>
  <c r="R21"/>
  <c r="R22"/>
  <c r="R23"/>
  <c r="R24"/>
  <c r="R25"/>
  <c r="S19"/>
  <c r="S20"/>
  <c r="S25"/>
  <c r="T13"/>
  <c r="T14"/>
  <c r="T15"/>
  <c r="T16"/>
  <c r="T17"/>
  <c r="T18"/>
  <c r="T19"/>
  <c r="T20"/>
  <c r="T21"/>
  <c r="T22"/>
  <c r="T23"/>
  <c r="T24"/>
  <c r="T25"/>
  <c r="C25"/>
  <c r="C19"/>
  <c r="C20"/>
  <c r="C21"/>
  <c r="C22"/>
  <c r="C23"/>
  <c r="AM23" s="1"/>
  <c r="C24"/>
  <c r="X25"/>
  <c r="I28" i="1"/>
  <c r="BI28"/>
  <c r="S24" i="2"/>
  <c r="DA27" i="1"/>
  <c r="DB27"/>
  <c r="CX27"/>
  <c r="CY27"/>
  <c r="CU27"/>
  <c r="CV27"/>
  <c r="CR27"/>
  <c r="CS27"/>
  <c r="CO27"/>
  <c r="CP27"/>
  <c r="CL27"/>
  <c r="CM27"/>
  <c r="DP24"/>
  <c r="DQ24"/>
  <c r="DP26"/>
  <c r="DQ26"/>
  <c r="DM26"/>
  <c r="DN26"/>
  <c r="DG26"/>
  <c r="DH26"/>
  <c r="DA26"/>
  <c r="DB26"/>
  <c r="CX26"/>
  <c r="CY26"/>
  <c r="CS26"/>
  <c r="BB28"/>
  <c r="AI24" i="2"/>
  <c r="BW36" i="1"/>
  <c r="BS28"/>
  <c r="EB28"/>
  <c r="EC28"/>
  <c r="AT28"/>
  <c r="BV36"/>
  <c r="X28"/>
  <c r="BU28"/>
  <c r="BR28"/>
  <c r="AS28"/>
  <c r="M24" i="2"/>
  <c r="M28" i="1"/>
  <c r="BB27"/>
  <c r="J27"/>
  <c r="I27"/>
  <c r="CI27"/>
  <c r="BT36"/>
  <c r="BK27"/>
  <c r="BS27"/>
  <c r="EE25"/>
  <c r="EF25"/>
  <c r="DM24"/>
  <c r="DN24"/>
  <c r="EB25"/>
  <c r="EC25"/>
  <c r="DY25"/>
  <c r="DZ25"/>
  <c r="DV25"/>
  <c r="DW25"/>
  <c r="DS25"/>
  <c r="DT25"/>
  <c r="DJ24"/>
  <c r="DK24"/>
  <c r="DP25"/>
  <c r="DQ25"/>
  <c r="CO26"/>
  <c r="CP26"/>
  <c r="DM25"/>
  <c r="DN25"/>
  <c r="DJ25"/>
  <c r="DK25"/>
  <c r="DG25"/>
  <c r="DH25"/>
  <c r="DD25"/>
  <c r="DE25"/>
  <c r="CL26"/>
  <c r="CM26"/>
  <c r="DA25"/>
  <c r="DB25"/>
  <c r="CX25"/>
  <c r="CY25"/>
  <c r="CU25"/>
  <c r="CV25"/>
  <c r="CS25"/>
  <c r="M27"/>
  <c r="X23" i="2"/>
  <c r="BQ27" i="1"/>
  <c r="DD27"/>
  <c r="DE27"/>
  <c r="BP36"/>
  <c r="CG36"/>
  <c r="BN36"/>
  <c r="BO36"/>
  <c r="AW26"/>
  <c r="X22" i="2"/>
  <c r="BD26" i="1"/>
  <c r="B64" i="5"/>
  <c r="K7"/>
  <c r="B19"/>
  <c r="H7"/>
  <c r="A35" i="3"/>
  <c r="GM18" i="1"/>
  <c r="GN18"/>
  <c r="EN21"/>
  <c r="EO21"/>
  <c r="W20"/>
  <c r="I16" i="2"/>
  <c r="BM36" i="1"/>
  <c r="BD25"/>
  <c r="BD36"/>
  <c r="BL36"/>
  <c r="I26"/>
  <c r="DD26"/>
  <c r="DE26"/>
  <c r="CO25"/>
  <c r="CP25"/>
  <c r="AZ26"/>
  <c r="DJ26"/>
  <c r="FL23"/>
  <c r="FM23"/>
  <c r="DG24"/>
  <c r="DH24"/>
  <c r="FI23"/>
  <c r="FJ23"/>
  <c r="FF23"/>
  <c r="FG23"/>
  <c r="FC23"/>
  <c r="FD23"/>
  <c r="EZ23"/>
  <c r="FA23"/>
  <c r="EW23"/>
  <c r="EX23"/>
  <c r="ET23"/>
  <c r="EU23"/>
  <c r="DK22"/>
  <c r="DJ22"/>
  <c r="DD24"/>
  <c r="DE24"/>
  <c r="EQ23"/>
  <c r="ER23"/>
  <c r="DA24"/>
  <c r="DB24"/>
  <c r="EN23"/>
  <c r="EO23"/>
  <c r="CX24"/>
  <c r="CY24"/>
  <c r="EK23"/>
  <c r="EL23"/>
  <c r="EH23"/>
  <c r="EI23"/>
  <c r="CU24"/>
  <c r="CV24"/>
  <c r="EE23"/>
  <c r="EF23"/>
  <c r="EB24"/>
  <c r="EC24"/>
  <c r="EB23"/>
  <c r="EC23"/>
  <c r="CR24"/>
  <c r="CS24"/>
  <c r="BK26"/>
  <c r="CV26"/>
  <c r="BK36"/>
  <c r="CO24"/>
  <c r="CP24"/>
  <c r="DY23"/>
  <c r="DZ23"/>
  <c r="BB26"/>
  <c r="AI22" i="2"/>
  <c r="BB25" i="1"/>
  <c r="AI21" i="2"/>
  <c r="X25" i="1"/>
  <c r="AD21" i="2"/>
  <c r="BJ36" i="1"/>
  <c r="CL24"/>
  <c r="CM24"/>
  <c r="N25"/>
  <c r="D21" i="2"/>
  <c r="DV23" i="1"/>
  <c r="DW23"/>
  <c r="CM25"/>
  <c r="BI25"/>
  <c r="S21" i="2"/>
  <c r="S27" s="1"/>
  <c r="L25" i="1"/>
  <c r="U21" i="2"/>
  <c r="DS23" i="1"/>
  <c r="DT23"/>
  <c r="DP23"/>
  <c r="DQ23"/>
  <c r="DG22"/>
  <c r="DH22"/>
  <c r="DM23"/>
  <c r="DN23"/>
  <c r="BH36"/>
  <c r="DJ23"/>
  <c r="DK23"/>
  <c r="DG23"/>
  <c r="DH23"/>
  <c r="DD23"/>
  <c r="DE23"/>
  <c r="DA23"/>
  <c r="DB23"/>
  <c r="CX23"/>
  <c r="CY23"/>
  <c r="BG36"/>
  <c r="BF36"/>
  <c r="BE24"/>
  <c r="BE36"/>
  <c r="I24"/>
  <c r="BD24"/>
  <c r="AI20" i="2"/>
  <c r="I17" i="6"/>
  <c r="CU23" i="1"/>
  <c r="CV23"/>
  <c r="J23"/>
  <c r="DD22"/>
  <c r="DE22"/>
  <c r="DA22"/>
  <c r="DB22"/>
  <c r="CX22"/>
  <c r="CY22"/>
  <c r="CU22"/>
  <c r="CV22"/>
  <c r="EK21"/>
  <c r="EL21"/>
  <c r="EH21"/>
  <c r="EI21"/>
  <c r="CP22"/>
  <c r="CO22"/>
  <c r="CL22"/>
  <c r="CM22"/>
  <c r="CR23"/>
  <c r="CS23"/>
  <c r="CO23"/>
  <c r="CP23"/>
  <c r="AD23"/>
  <c r="AB19" i="2"/>
  <c r="EE21" i="1"/>
  <c r="EF21"/>
  <c r="EB21"/>
  <c r="EC21"/>
  <c r="BB23"/>
  <c r="BB36"/>
  <c r="X23"/>
  <c r="AD19" i="2"/>
  <c r="BA23" i="1"/>
  <c r="AI19" i="2"/>
  <c r="AX23" i="1"/>
  <c r="AH19" i="2"/>
  <c r="AH27" s="1"/>
  <c r="B45" i="5"/>
  <c r="B50"/>
  <c r="B46"/>
  <c r="F45"/>
  <c r="F46"/>
  <c r="F48"/>
  <c r="F50"/>
  <c r="F51"/>
  <c r="F52"/>
  <c r="F53"/>
  <c r="F54"/>
  <c r="F57"/>
  <c r="B51"/>
  <c r="B53"/>
  <c r="C48"/>
  <c r="D47"/>
  <c r="D46"/>
  <c r="C46"/>
  <c r="D45"/>
  <c r="C45"/>
  <c r="D44"/>
  <c r="C44"/>
  <c r="CH23" i="1"/>
  <c r="AJ19" i="2"/>
  <c r="CK45" i="1"/>
  <c r="CK46"/>
  <c r="CI40"/>
  <c r="CI41"/>
  <c r="CI42"/>
  <c r="CI43"/>
  <c r="CH44"/>
  <c r="CH42"/>
  <c r="CH41"/>
  <c r="CK43"/>
  <c r="CH40"/>
  <c r="CK41"/>
  <c r="CK49"/>
  <c r="CK40"/>
  <c r="CK48"/>
  <c r="CK47"/>
  <c r="CK52"/>
  <c r="BC44"/>
  <c r="BC46"/>
  <c r="BC52"/>
  <c r="L23"/>
  <c r="U19" i="2"/>
  <c r="BC36" i="1"/>
  <c r="I23"/>
  <c r="AZ36"/>
  <c r="E16" i="6"/>
  <c r="F16"/>
  <c r="G16"/>
  <c r="D16"/>
  <c r="I16"/>
  <c r="I13"/>
  <c r="I12"/>
  <c r="I14"/>
  <c r="C15"/>
  <c r="D15"/>
  <c r="E15"/>
  <c r="F15"/>
  <c r="G15"/>
  <c r="B15"/>
  <c r="I15"/>
  <c r="I11"/>
  <c r="C10"/>
  <c r="C18"/>
  <c r="D10"/>
  <c r="D18"/>
  <c r="E10"/>
  <c r="E18"/>
  <c r="F10"/>
  <c r="F18"/>
  <c r="G10"/>
  <c r="G18"/>
  <c r="B10"/>
  <c r="B18"/>
  <c r="I5"/>
  <c r="I6"/>
  <c r="I7"/>
  <c r="I8"/>
  <c r="I9"/>
  <c r="I4"/>
  <c r="AS23" i="1"/>
  <c r="M19" i="2"/>
  <c r="AM19" s="1"/>
  <c r="CL23" i="1"/>
  <c r="CM23"/>
  <c r="DZ21"/>
  <c r="DV21"/>
  <c r="DW21"/>
  <c r="DS21"/>
  <c r="DT21"/>
  <c r="DP21"/>
  <c r="DQ21"/>
  <c r="DM21"/>
  <c r="DN21"/>
  <c r="DJ21"/>
  <c r="DK21"/>
  <c r="DH21"/>
  <c r="AY36"/>
  <c r="K8" i="5"/>
  <c r="G8"/>
  <c r="E19"/>
  <c r="F19"/>
  <c r="H8"/>
  <c r="J8"/>
  <c r="L8"/>
  <c r="D25"/>
  <c r="D35"/>
  <c r="F35"/>
  <c r="E35"/>
  <c r="C35"/>
  <c r="G35"/>
  <c r="D26"/>
  <c r="D27"/>
  <c r="D28"/>
  <c r="B29"/>
  <c r="B35"/>
  <c r="D12"/>
  <c r="D11"/>
  <c r="D10"/>
  <c r="G9"/>
  <c r="D9"/>
  <c r="D8"/>
  <c r="D7"/>
  <c r="D6"/>
  <c r="D5"/>
  <c r="D4"/>
  <c r="GJ18" i="1"/>
  <c r="GK18"/>
  <c r="CL19"/>
  <c r="CM19"/>
  <c r="AL22"/>
  <c r="AC18" i="2"/>
  <c r="R22" i="1"/>
  <c r="Z18" i="2"/>
  <c r="X22" i="1"/>
  <c r="AD18" i="2"/>
  <c r="I22" i="1"/>
  <c r="Q65" i="3"/>
  <c r="A65"/>
  <c r="B65"/>
  <c r="C65"/>
  <c r="D65"/>
  <c r="E65"/>
  <c r="F65"/>
  <c r="L65"/>
  <c r="N65"/>
  <c r="P65"/>
  <c r="G65"/>
  <c r="H65"/>
  <c r="I65"/>
  <c r="J65"/>
  <c r="U65"/>
  <c r="K65"/>
  <c r="M65"/>
  <c r="O65"/>
  <c r="D58"/>
  <c r="D66"/>
  <c r="K26"/>
  <c r="M26"/>
  <c r="Q58"/>
  <c r="Q66"/>
  <c r="P58"/>
  <c r="P66"/>
  <c r="O58"/>
  <c r="O66"/>
  <c r="N58"/>
  <c r="N66"/>
  <c r="M58"/>
  <c r="M66"/>
  <c r="L58"/>
  <c r="L66"/>
  <c r="K58"/>
  <c r="K66"/>
  <c r="J58"/>
  <c r="J66"/>
  <c r="I58"/>
  <c r="I66"/>
  <c r="H58"/>
  <c r="H66"/>
  <c r="G58"/>
  <c r="G66"/>
  <c r="F58"/>
  <c r="F66"/>
  <c r="E58"/>
  <c r="E66"/>
  <c r="C58"/>
  <c r="C66"/>
  <c r="B58"/>
  <c r="B66"/>
  <c r="A58"/>
  <c r="U58"/>
  <c r="E3" i="4"/>
  <c r="FG20" i="1"/>
  <c r="O35" i="3"/>
  <c r="P35"/>
  <c r="Q35"/>
  <c r="O26"/>
  <c r="O36"/>
  <c r="P26"/>
  <c r="P36"/>
  <c r="Q26"/>
  <c r="Q36"/>
  <c r="M35"/>
  <c r="M36"/>
  <c r="N35"/>
  <c r="N26"/>
  <c r="N36"/>
  <c r="K35"/>
  <c r="K36"/>
  <c r="L35"/>
  <c r="L26"/>
  <c r="L36"/>
  <c r="J35"/>
  <c r="J26"/>
  <c r="J36"/>
  <c r="H35"/>
  <c r="I35"/>
  <c r="H26"/>
  <c r="H36"/>
  <c r="I26"/>
  <c r="I36"/>
  <c r="G35"/>
  <c r="G26"/>
  <c r="G36"/>
  <c r="F35"/>
  <c r="F26"/>
  <c r="F36"/>
  <c r="E35"/>
  <c r="E26"/>
  <c r="E36"/>
  <c r="D35"/>
  <c r="D26"/>
  <c r="D36"/>
  <c r="B35"/>
  <c r="C35"/>
  <c r="B26"/>
  <c r="B36"/>
  <c r="C26"/>
  <c r="C36"/>
  <c r="A26"/>
  <c r="A36"/>
  <c r="CH22" i="1"/>
  <c r="AJ18" i="2"/>
  <c r="DD21" i="1"/>
  <c r="DE21"/>
  <c r="DA21"/>
  <c r="DB21"/>
  <c r="CX21"/>
  <c r="CY21"/>
  <c r="EZ20"/>
  <c r="FA20"/>
  <c r="ET20"/>
  <c r="EU20"/>
  <c r="EQ20"/>
  <c r="ER20"/>
  <c r="EN20"/>
  <c r="EO20"/>
  <c r="EK20"/>
  <c r="EL20"/>
  <c r="DV20"/>
  <c r="DW20"/>
  <c r="EH20"/>
  <c r="EI20"/>
  <c r="EE20"/>
  <c r="EF20"/>
  <c r="CU21"/>
  <c r="CV21"/>
  <c r="CR21"/>
  <c r="CS21"/>
  <c r="C18" i="2"/>
  <c r="DS20" i="1"/>
  <c r="DT20"/>
  <c r="DQ20"/>
  <c r="DN20"/>
  <c r="DJ20"/>
  <c r="DK20"/>
  <c r="DG20"/>
  <c r="DH20"/>
  <c r="DA20"/>
  <c r="DB20"/>
  <c r="AW22"/>
  <c r="X18" i="2"/>
  <c r="AW21" i="1"/>
  <c r="AW36"/>
  <c r="E67" i="3"/>
  <c r="B39" i="2"/>
  <c r="B38"/>
  <c r="B41"/>
  <c r="B53"/>
  <c r="B52"/>
  <c r="G46"/>
  <c r="G50"/>
  <c r="F46"/>
  <c r="F50"/>
  <c r="E46"/>
  <c r="E50"/>
  <c r="C46"/>
  <c r="C48"/>
  <c r="C50"/>
  <c r="D46"/>
  <c r="D50"/>
  <c r="B48"/>
  <c r="B46"/>
  <c r="B50"/>
  <c r="AK10"/>
  <c r="AM10"/>
  <c r="AK11"/>
  <c r="AM11"/>
  <c r="C14"/>
  <c r="C15"/>
  <c r="C16"/>
  <c r="C27" s="1"/>
  <c r="C3" i="4" s="1"/>
  <c r="E16" i="2"/>
  <c r="C17"/>
  <c r="R21" i="1"/>
  <c r="Z17" i="2"/>
  <c r="R36" i="1"/>
  <c r="J67" i="3"/>
  <c r="AC18" i="1"/>
  <c r="Y14" i="2"/>
  <c r="Y27" s="1"/>
  <c r="AC19" i="1"/>
  <c r="Y15" i="2"/>
  <c r="AC21" i="1"/>
  <c r="Y17" i="2"/>
  <c r="CO21" i="1"/>
  <c r="AJ18"/>
  <c r="X14" i="2"/>
  <c r="X27" s="1"/>
  <c r="M19" i="1"/>
  <c r="X15" i="2"/>
  <c r="AJ19" i="1"/>
  <c r="AO19"/>
  <c r="M21"/>
  <c r="X17" i="2"/>
  <c r="W18" i="1"/>
  <c r="I14" i="2"/>
  <c r="W21" i="1"/>
  <c r="I17" i="2"/>
  <c r="I27" s="1"/>
  <c r="O17" i="1"/>
  <c r="V13" i="2"/>
  <c r="O19" i="1"/>
  <c r="V15" i="2"/>
  <c r="O21" i="1"/>
  <c r="V17" i="2"/>
  <c r="L18" i="1"/>
  <c r="U14" i="2"/>
  <c r="L19" i="1"/>
  <c r="U15" i="2"/>
  <c r="AF19" i="1"/>
  <c r="G15" i="2"/>
  <c r="G27" s="1"/>
  <c r="AF20" i="1"/>
  <c r="G16" i="2"/>
  <c r="AB19" i="1"/>
  <c r="F15" i="2"/>
  <c r="AB20" i="1"/>
  <c r="F16" i="2"/>
  <c r="F27" s="1"/>
  <c r="P17" i="1"/>
  <c r="E13" i="2"/>
  <c r="E27" s="1"/>
  <c r="T18" i="1"/>
  <c r="E14" i="2"/>
  <c r="P19" i="1"/>
  <c r="E15" i="2"/>
  <c r="T19" i="1"/>
  <c r="T20"/>
  <c r="P21"/>
  <c r="E17" i="2"/>
  <c r="N17" i="1"/>
  <c r="D13" i="2"/>
  <c r="N18" i="1"/>
  <c r="D14" i="2"/>
  <c r="AM14" s="1"/>
  <c r="N19" i="1"/>
  <c r="D15" i="2"/>
  <c r="N20" i="1"/>
  <c r="D16" i="2"/>
  <c r="B27"/>
  <c r="B3" i="4"/>
  <c r="HQ19" i="1"/>
  <c r="HR19"/>
  <c r="HN19"/>
  <c r="HO19"/>
  <c r="HK19"/>
  <c r="HL19"/>
  <c r="Z21"/>
  <c r="AG17" i="2"/>
  <c r="AG27" s="1"/>
  <c r="I21" i="1"/>
  <c r="J21"/>
  <c r="J36"/>
  <c r="AU21"/>
  <c r="AF16" i="2"/>
  <c r="CL21" i="1"/>
  <c r="CM21"/>
  <c r="CX20"/>
  <c r="CY20"/>
  <c r="HI19"/>
  <c r="HH19"/>
  <c r="HE19"/>
  <c r="HF19"/>
  <c r="HB19"/>
  <c r="HC19"/>
  <c r="GY19"/>
  <c r="GZ19"/>
  <c r="GV19"/>
  <c r="GW19"/>
  <c r="GS19"/>
  <c r="GT19"/>
  <c r="GG18"/>
  <c r="GH18"/>
  <c r="GP19"/>
  <c r="GQ19"/>
  <c r="GM19"/>
  <c r="GN19"/>
  <c r="GJ19"/>
  <c r="GK19"/>
  <c r="GG19"/>
  <c r="GH19"/>
  <c r="GD18"/>
  <c r="GE18"/>
  <c r="GD19"/>
  <c r="GE19"/>
  <c r="GA19"/>
  <c r="GB19"/>
  <c r="FX19"/>
  <c r="FY19"/>
  <c r="GA18"/>
  <c r="GB18"/>
  <c r="FU19"/>
  <c r="FV19"/>
  <c r="FR19"/>
  <c r="FS19"/>
  <c r="FO19"/>
  <c r="FP19"/>
  <c r="FL19"/>
  <c r="FM19"/>
  <c r="CU20"/>
  <c r="CV20"/>
  <c r="FI19"/>
  <c r="FJ19"/>
  <c r="FF19"/>
  <c r="FG19"/>
  <c r="CR20"/>
  <c r="CS20"/>
  <c r="CO20"/>
  <c r="CP20"/>
  <c r="EZ19"/>
  <c r="FA19"/>
  <c r="FX18"/>
  <c r="FY18"/>
  <c r="EW19"/>
  <c r="EX19"/>
  <c r="ET19"/>
  <c r="EU19"/>
  <c r="FU18"/>
  <c r="FV18"/>
  <c r="EQ19"/>
  <c r="ER19"/>
  <c r="EN19"/>
  <c r="EO19"/>
  <c r="EK19"/>
  <c r="EL19"/>
  <c r="DP19"/>
  <c r="DQ19"/>
  <c r="EH19"/>
  <c r="EI19"/>
  <c r="FR18"/>
  <c r="FS18"/>
  <c r="EB20"/>
  <c r="EC20"/>
  <c r="I20"/>
  <c r="X20"/>
  <c r="AD16" i="2"/>
  <c r="AD20" i="1"/>
  <c r="AB16" i="2"/>
  <c r="AB27"/>
  <c r="AL20" i="1"/>
  <c r="AC16" i="2"/>
  <c r="AQ20" i="1"/>
  <c r="O16" i="2"/>
  <c r="O27" s="1"/>
  <c r="AR20" i="1"/>
  <c r="R16" i="2"/>
  <c r="R27"/>
  <c r="AS20" i="1"/>
  <c r="M16" i="2"/>
  <c r="M27" s="1"/>
  <c r="AU20" i="1"/>
  <c r="AF15" i="2"/>
  <c r="AF27"/>
  <c r="AV20" i="1"/>
  <c r="Q16" i="2"/>
  <c r="Q27" s="1"/>
  <c r="FC20" i="1"/>
  <c r="CH20"/>
  <c r="AJ16" i="2"/>
  <c r="CJ7" i="1"/>
  <c r="CJ8"/>
  <c r="CJ9"/>
  <c r="CJ10"/>
  <c r="CJ11"/>
  <c r="CJ12"/>
  <c r="CJ13"/>
  <c r="B14"/>
  <c r="CJ14"/>
  <c r="B15"/>
  <c r="I15"/>
  <c r="CJ15"/>
  <c r="B16"/>
  <c r="E16"/>
  <c r="I16"/>
  <c r="B17"/>
  <c r="I17"/>
  <c r="CJ17"/>
  <c r="CI17"/>
  <c r="AK13" i="2"/>
  <c r="B18" i="1"/>
  <c r="B36"/>
  <c r="I18"/>
  <c r="S18"/>
  <c r="K14" i="2"/>
  <c r="K27"/>
  <c r="U18" i="1"/>
  <c r="AJ14" i="2"/>
  <c r="AG18" i="1"/>
  <c r="AA14" i="2"/>
  <c r="AA27" s="1"/>
  <c r="I19" i="1"/>
  <c r="AL19"/>
  <c r="AC15" i="2"/>
  <c r="AC27" s="1"/>
  <c r="AP19" i="1"/>
  <c r="N15" i="2"/>
  <c r="N27"/>
  <c r="CH19" i="1"/>
  <c r="AJ15" i="2"/>
  <c r="C36" i="1"/>
  <c r="D36"/>
  <c r="F36"/>
  <c r="G36"/>
  <c r="H36"/>
  <c r="Q36"/>
  <c r="Q37" i="3"/>
  <c r="Q38"/>
  <c r="V36" i="1"/>
  <c r="H37" i="3"/>
  <c r="H38" s="1"/>
  <c r="Y36" i="1"/>
  <c r="J37" i="3"/>
  <c r="J38"/>
  <c r="AA36" i="1"/>
  <c r="AE36"/>
  <c r="O67" i="3"/>
  <c r="O68"/>
  <c r="AH36" i="1"/>
  <c r="AI36"/>
  <c r="N37" i="3"/>
  <c r="N38"/>
  <c r="AK36" i="1"/>
  <c r="F37" i="3"/>
  <c r="F38" s="1"/>
  <c r="AM36" i="1"/>
  <c r="G67" i="3"/>
  <c r="G68"/>
  <c r="AN36" i="1"/>
  <c r="AT36"/>
  <c r="C67" i="3"/>
  <c r="C68"/>
  <c r="FO18" i="1"/>
  <c r="FP18"/>
  <c r="FL18"/>
  <c r="FM18"/>
  <c r="FI18"/>
  <c r="FJ18"/>
  <c r="FF18"/>
  <c r="FG18"/>
  <c r="FC18"/>
  <c r="FD18"/>
  <c r="EZ18"/>
  <c r="FA18"/>
  <c r="EE19"/>
  <c r="EF19"/>
  <c r="DM19"/>
  <c r="DN19"/>
  <c r="EW18"/>
  <c r="EX18"/>
  <c r="ET18"/>
  <c r="EU18"/>
  <c r="EQ18"/>
  <c r="ER18"/>
  <c r="EN18"/>
  <c r="EO18"/>
  <c r="EK18"/>
  <c r="EL18"/>
  <c r="EH18"/>
  <c r="EI18"/>
  <c r="EE18"/>
  <c r="EF18"/>
  <c r="EB18"/>
  <c r="EC18"/>
  <c r="DY20"/>
  <c r="DZ20"/>
  <c r="DY18"/>
  <c r="DZ18"/>
  <c r="DV18"/>
  <c r="DW18"/>
  <c r="DS18"/>
  <c r="DT18"/>
  <c r="DP18"/>
  <c r="DQ18"/>
  <c r="DM18"/>
  <c r="DN18"/>
  <c r="DJ18"/>
  <c r="DK18"/>
  <c r="DG18"/>
  <c r="DH18"/>
  <c r="DD18"/>
  <c r="DE18"/>
  <c r="DA18"/>
  <c r="DB18"/>
  <c r="EB19"/>
  <c r="EC19"/>
  <c r="DY19"/>
  <c r="DZ19"/>
  <c r="DV19"/>
  <c r="DW19"/>
  <c r="CX18"/>
  <c r="CY18"/>
  <c r="AO36"/>
  <c r="H67" i="3"/>
  <c r="H68" s="1"/>
  <c r="AB36" i="1"/>
  <c r="D37" i="3"/>
  <c r="D38"/>
  <c r="EK17" i="1"/>
  <c r="EL17"/>
  <c r="DJ19"/>
  <c r="DK19"/>
  <c r="CU18"/>
  <c r="CV18"/>
  <c r="EH17"/>
  <c r="EI17"/>
  <c r="EE17"/>
  <c r="EF17"/>
  <c r="DG19"/>
  <c r="DH19"/>
  <c r="DD19"/>
  <c r="DE19"/>
  <c r="EC17"/>
  <c r="EB17"/>
  <c r="DZ17"/>
  <c r="DV17"/>
  <c r="DW17"/>
  <c r="DS19"/>
  <c r="DT19"/>
  <c r="CR18"/>
  <c r="CS18"/>
  <c r="DA19"/>
  <c r="DB19"/>
  <c r="CX19"/>
  <c r="CY19"/>
  <c r="CU19"/>
  <c r="CV19"/>
  <c r="DP17"/>
  <c r="DQ17"/>
  <c r="DM17"/>
  <c r="DN17"/>
  <c r="CO18"/>
  <c r="CP18"/>
  <c r="DJ17"/>
  <c r="DK17"/>
  <c r="CR19"/>
  <c r="CS19"/>
  <c r="CO19"/>
  <c r="CP19"/>
  <c r="CL18"/>
  <c r="CM18"/>
  <c r="DG17"/>
  <c r="DH17"/>
  <c r="DD17"/>
  <c r="DE17"/>
  <c r="DA17"/>
  <c r="DB17"/>
  <c r="DJ16"/>
  <c r="DK16"/>
  <c r="CX17"/>
  <c r="CY17"/>
  <c r="CU17"/>
  <c r="CV17"/>
  <c r="CR17"/>
  <c r="CS17"/>
  <c r="CO17"/>
  <c r="CP17"/>
  <c r="DH16"/>
  <c r="DA16"/>
  <c r="DB16"/>
  <c r="CX16"/>
  <c r="CY16"/>
  <c r="CU16"/>
  <c r="CV16"/>
  <c r="CR16"/>
  <c r="CS16"/>
  <c r="CO16"/>
  <c r="CP16"/>
  <c r="CL16"/>
  <c r="CM16"/>
  <c r="O36"/>
  <c r="B67" i="3"/>
  <c r="B68" s="1"/>
  <c r="DS17" i="1"/>
  <c r="DT17"/>
  <c r="CL17"/>
  <c r="CM17"/>
  <c r="DA15"/>
  <c r="DB15"/>
  <c r="CV15"/>
  <c r="CS15"/>
  <c r="E36"/>
  <c r="CO15"/>
  <c r="CP15"/>
  <c r="CL15"/>
  <c r="CM15"/>
  <c r="CJ5"/>
  <c r="DE16"/>
  <c r="U35" i="3"/>
  <c r="D4" i="4"/>
  <c r="U26" i="3"/>
  <c r="D3" i="4"/>
  <c r="D6"/>
  <c r="AS36" i="1"/>
  <c r="K37" i="3"/>
  <c r="A66"/>
  <c r="AG36" i="1"/>
  <c r="K67" i="3"/>
  <c r="K68"/>
  <c r="AU36" i="1"/>
  <c r="P67" i="3"/>
  <c r="P68" s="1"/>
  <c r="AR36" i="1"/>
  <c r="P37" i="3"/>
  <c r="P38"/>
  <c r="Z36" i="1"/>
  <c r="Q67" i="3"/>
  <c r="Q68" s="1"/>
  <c r="AV36" i="1"/>
  <c r="O37" i="3"/>
  <c r="O38"/>
  <c r="AF36" i="1"/>
  <c r="E37" i="3"/>
  <c r="E38" s="1"/>
  <c r="CL20" i="1"/>
  <c r="CM20"/>
  <c r="EW20"/>
  <c r="EX20"/>
  <c r="T36"/>
  <c r="C37" i="3"/>
  <c r="C38"/>
  <c r="N36" i="1"/>
  <c r="A37" i="3"/>
  <c r="A38" s="1"/>
  <c r="P36" i="1"/>
  <c r="B37" i="3"/>
  <c r="B38"/>
  <c r="W36" i="1"/>
  <c r="G37" i="3"/>
  <c r="G38" s="1"/>
  <c r="I36" i="1"/>
  <c r="CX15"/>
  <c r="CY15"/>
  <c r="L36"/>
  <c r="A67" i="3"/>
  <c r="A68" s="1"/>
  <c r="U36" i="1"/>
  <c r="F4" i="4"/>
  <c r="M36" i="1"/>
  <c r="D67" i="3"/>
  <c r="AD36" i="1"/>
  <c r="L67" i="3"/>
  <c r="L68" s="1"/>
  <c r="FC19" i="1"/>
  <c r="FD19"/>
  <c r="I10" i="6"/>
  <c r="CI23" i="1"/>
  <c r="AK19" i="2"/>
  <c r="DD20" i="1"/>
  <c r="DE20"/>
  <c r="CI21"/>
  <c r="AK17" i="2"/>
  <c r="CI20" i="1"/>
  <c r="AK16" i="2"/>
  <c r="AM16" s="1"/>
  <c r="CJ20" i="1"/>
  <c r="CI25"/>
  <c r="AK21" i="2"/>
  <c r="AM21"/>
  <c r="CJ25" i="1"/>
  <c r="CI24"/>
  <c r="AK20" i="2"/>
  <c r="AM20"/>
  <c r="AJ36" i="1"/>
  <c r="F67" i="3"/>
  <c r="F68" s="1"/>
  <c r="CI19" i="1"/>
  <c r="CI18"/>
  <c r="AK14" i="2"/>
  <c r="U36" i="3"/>
  <c r="I18" i="6"/>
  <c r="CI26" i="1"/>
  <c r="AK22" i="2"/>
  <c r="DK26" i="1"/>
  <c r="B6" i="4"/>
  <c r="E4"/>
  <c r="H4" s="1"/>
  <c r="U66" i="3"/>
  <c r="G19" i="5"/>
  <c r="H19"/>
  <c r="I7"/>
  <c r="J7"/>
  <c r="L7"/>
  <c r="DG27" i="1"/>
  <c r="DH27"/>
  <c r="CH36"/>
  <c r="AQ36"/>
  <c r="M37" i="3"/>
  <c r="CI16" i="1"/>
  <c r="AK12" i="2"/>
  <c r="AM12" s="1"/>
  <c r="AC36" i="1"/>
  <c r="I67" i="3"/>
  <c r="I68"/>
  <c r="CR22" i="1"/>
  <c r="CS22"/>
  <c r="BA36"/>
  <c r="BI36"/>
  <c r="CI28"/>
  <c r="AK24" i="2"/>
  <c r="CJ16" i="1"/>
  <c r="CJ26"/>
  <c r="AK15" i="2"/>
  <c r="CJ19" i="1"/>
  <c r="CJ24"/>
  <c r="F3" i="4"/>
  <c r="F6" s="1"/>
  <c r="H35" i="5"/>
  <c r="E6" i="4"/>
  <c r="FD20" i="1"/>
  <c r="AX36"/>
  <c r="BQ36"/>
  <c r="X24" i="2"/>
  <c r="BR36" i="1"/>
  <c r="BU36"/>
  <c r="AD24" i="2"/>
  <c r="W24"/>
  <c r="BS36" i="1"/>
  <c r="DK27"/>
  <c r="CL28"/>
  <c r="CM28"/>
  <c r="DV27"/>
  <c r="DW27"/>
  <c r="EB27"/>
  <c r="EC27"/>
  <c r="CR28"/>
  <c r="CS28"/>
  <c r="EE27"/>
  <c r="EF27"/>
  <c r="CU28"/>
  <c r="CV28"/>
  <c r="CX28"/>
  <c r="CY28"/>
  <c r="S23" i="2"/>
  <c r="AK23"/>
  <c r="CJ27" i="1"/>
  <c r="CJ29"/>
  <c r="AK25" i="2"/>
  <c r="AM25" s="1"/>
  <c r="U27"/>
  <c r="AM15"/>
  <c r="S22"/>
  <c r="AM22" s="1"/>
  <c r="AI23"/>
  <c r="AI27" s="1"/>
  <c r="H27"/>
  <c r="CJ18" i="1"/>
  <c r="AL36"/>
  <c r="M67" i="3"/>
  <c r="M68"/>
  <c r="AP36" i="1"/>
  <c r="L37" i="3"/>
  <c r="L38" s="1"/>
  <c r="S36" i="1"/>
  <c r="I37" i="3"/>
  <c r="I38"/>
  <c r="X36" i="1"/>
  <c r="N67" i="3"/>
  <c r="N68" s="1"/>
  <c r="CP21" i="1"/>
  <c r="CI22"/>
  <c r="AK18" i="2"/>
  <c r="AK27" s="1"/>
  <c r="T27"/>
  <c r="J27"/>
  <c r="CJ22" i="1"/>
  <c r="CJ28"/>
  <c r="V27" i="2"/>
  <c r="U28" s="1"/>
  <c r="AJ27"/>
  <c r="AJ28"/>
  <c r="AM24"/>
  <c r="CJ23" i="1"/>
  <c r="K38" i="3"/>
  <c r="D68"/>
  <c r="M38"/>
  <c r="CI36" i="1"/>
  <c r="G3" i="4"/>
  <c r="AD27" i="2"/>
  <c r="E68" i="3"/>
  <c r="AM18" i="2"/>
  <c r="AM17"/>
  <c r="CJ21" i="1"/>
  <c r="U37" i="3"/>
  <c r="U38" s="1"/>
  <c r="AM13" i="2"/>
  <c r="J68" i="3"/>
  <c r="U67"/>
  <c r="U68"/>
  <c r="G6" i="4"/>
  <c r="AM27" i="2" l="1"/>
  <c r="C6" i="4"/>
  <c r="H6" s="1"/>
  <c r="H3"/>
  <c r="D27" i="2"/>
  <c r="D28" s="1"/>
  <c r="B25" i="8"/>
  <c r="F25"/>
  <c r="B25" i="9"/>
  <c r="C32" i="10"/>
  <c r="D32" s="1"/>
  <c r="B34" i="7"/>
</calcChain>
</file>

<file path=xl/comments1.xml><?xml version="1.0" encoding="utf-8"?>
<comments xmlns="http://schemas.openxmlformats.org/spreadsheetml/2006/main">
  <authors>
    <author>f.bencomo</author>
    <author xml:space="preserve"> </author>
    <author>.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Bougandoura
Chebli
Benmerkhi</t>
        </r>
      </text>
    </comment>
    <comment ref="C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440 €/j</t>
        </r>
      </text>
    </comment>
    <comment ref="E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15166*6</t>
        </r>
      </text>
    </comment>
    <comment ref="I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480 €/j</t>
        </r>
      </text>
    </comment>
    <comment ref="M1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le 15/01/10</t>
        </r>
      </text>
    </comment>
    <comment ref="CP1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SILIM ENVIRONNEMENT
FAC 109.09.179</t>
        </r>
      </text>
    </comment>
    <comment ref="DB15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ICE</t>
        </r>
      </text>
    </comment>
    <comment ref="CM1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virement petit compte</t>
        </r>
      </text>
    </comment>
    <comment ref="CP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
</t>
        </r>
      </text>
    </comment>
    <comment ref="CY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B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ICE</t>
        </r>
      </text>
    </comment>
    <comment ref="DE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</t>
        </r>
      </text>
    </comment>
    <comment ref="DH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</t>
        </r>
      </text>
    </comment>
    <comment ref="DK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M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le 15/01/10</t>
        </r>
      </text>
    </comment>
    <comment ref="CM1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Remboursement 28/10/2009 Payement mensuelle</t>
        </r>
      </text>
    </comment>
    <comment ref="CP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Lange</t>
        </r>
      </text>
    </comment>
    <comment ref="CS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CV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CY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DB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DE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DH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DK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EKIUM</t>
        </r>
      </text>
    </comment>
    <comment ref="DN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Q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T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UNIVAR</t>
        </r>
      </text>
    </comment>
    <comment ref="DW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DZ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
</t>
        </r>
      </text>
    </comment>
    <comment ref="EC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EF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EL1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G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pirat</t>
        </r>
      </text>
    </comment>
    <comment ref="P1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</t>
        </r>
      </text>
    </comment>
    <comment ref="U1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</t>
        </r>
      </text>
    </comment>
    <comment ref="AG1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Prelevement</t>
        </r>
      </text>
    </comment>
    <comment ref="CM1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Suministros</t>
        </r>
      </text>
    </comment>
    <comment ref="CP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EKIUM</t>
        </r>
      </text>
    </comment>
    <comment ref="CS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TECHNITUDE</t>
        </r>
      </text>
    </comment>
    <comment ref="CV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DIFPAP</t>
        </r>
      </text>
    </comment>
    <comment ref="CY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EKIUM</t>
        </r>
      </text>
    </comment>
    <comment ref="DB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E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ICE</t>
        </r>
      </text>
    </comment>
    <comment ref="DH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DK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DN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DQ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MCI2</t>
        </r>
      </text>
    </comment>
    <comment ref="DT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DW18" authorId="1">
      <text>
        <r>
          <rPr>
            <b/>
            <sz val="8"/>
            <color indexed="81"/>
            <rFont val="Tahoma"/>
            <family val="2"/>
          </rPr>
          <t xml:space="preserve"> :
DIFPAP</t>
        </r>
      </text>
    </comment>
    <comment ref="DZ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EUROFILTRES
101532</t>
        </r>
      </text>
    </comment>
    <comment ref="EC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Avenir Process</t>
        </r>
      </text>
    </comment>
    <comment ref="EF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CABLERIE ST ANTOINE</t>
        </r>
      </text>
    </comment>
    <comment ref="EI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SCUOCH</t>
        </r>
      </text>
    </comment>
    <comment ref="EL18" authorId="1">
      <text>
        <r>
          <rPr>
            <b/>
            <sz val="8"/>
            <color indexed="81"/>
            <rFont val="Tahoma"/>
            <family val="2"/>
          </rPr>
          <t xml:space="preserve"> :
SPIE OIL</t>
        </r>
      </text>
    </comment>
    <comment ref="EO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ER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TECNITUDE</t>
        </r>
      </text>
    </comment>
    <comment ref="EU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SITA</t>
        </r>
      </text>
    </comment>
    <comment ref="EX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FA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TRANSPORT LOGISTIQUE</t>
        </r>
      </text>
    </comment>
    <comment ref="FD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FG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FJ18" authorId="1">
      <text>
        <r>
          <rPr>
            <b/>
            <sz val="8"/>
            <color indexed="81"/>
            <rFont val="Tahoma"/>
            <family val="2"/>
          </rPr>
          <t xml:space="preserve"> :
BOLLORE</t>
        </r>
      </text>
    </comment>
    <comment ref="FM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FP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FS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Mondialisol Chq n° 93 MTP </t>
        </r>
      </text>
    </comment>
    <comment ref="FV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CHQ MTP 162</t>
        </r>
      </text>
    </comment>
    <comment ref="FY18" authorId="1">
      <text>
        <r>
          <rPr>
            <b/>
            <sz val="8"/>
            <color indexed="81"/>
            <rFont val="Tahoma"/>
            <family val="2"/>
          </rPr>
          <t xml:space="preserve"> :
Prochim CHQ N°92 MPT</t>
        </r>
      </text>
    </comment>
    <comment ref="GB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SITA</t>
        </r>
      </text>
    </comment>
    <comment ref="GE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carrieres et chaux</t>
        </r>
      </text>
    </comment>
    <comment ref="GH1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GK1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Voir suministros</t>
        </r>
      </text>
    </comment>
    <comment ref="GN1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CTF</t>
        </r>
      </text>
    </comment>
    <comment ref="M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13/04/10</t>
        </r>
      </text>
    </comment>
    <comment ref="P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regul gasoil (330+12) payé
regul gasoil (330+12) payé Evere</t>
        </r>
      </text>
    </comment>
    <comment ref="CM19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CP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CS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CV19" authorId="1">
      <text>
        <r>
          <rPr>
            <b/>
            <sz val="8"/>
            <color indexed="81"/>
            <rFont val="Tahoma"/>
            <family val="2"/>
          </rPr>
          <t xml:space="preserve"> :VWR</t>
        </r>
      </text>
    </comment>
    <comment ref="CY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DB19" authorId="1">
      <text>
        <r>
          <rPr>
            <b/>
            <sz val="8"/>
            <color indexed="81"/>
            <rFont val="Tahoma"/>
            <family val="2"/>
          </rPr>
          <t xml:space="preserve"> :VWR</t>
        </r>
      </text>
    </comment>
    <comment ref="DE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DH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DK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DIFPAP</t>
        </r>
      </text>
    </comment>
    <comment ref="DN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DQ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PROCHIM</t>
        </r>
      </text>
    </comment>
    <comment ref="DT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UNIVAR</t>
        </r>
      </text>
    </comment>
    <comment ref="DW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DZ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EC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</t>
        </r>
      </text>
    </comment>
    <comment ref="EF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TRANSPORT VINCENT</t>
        </r>
      </text>
    </comment>
    <comment ref="EI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carriere et chaux</t>
        </r>
      </text>
    </comment>
    <comment ref="EL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EKIUM</t>
        </r>
      </text>
    </comment>
    <comment ref="EO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MICHAUD CHQ N° 164 MTP</t>
        </r>
      </text>
    </comment>
    <comment ref="ER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MICHAUD CHQ N° 163 MTP</t>
        </r>
      </text>
    </comment>
    <comment ref="EU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</t>
        </r>
      </text>
    </comment>
    <comment ref="EX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AVENIR PROCESS</t>
        </r>
      </text>
    </comment>
    <comment ref="FA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FD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TECNITUDE</t>
        </r>
      </text>
    </comment>
    <comment ref="FG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FJ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FM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YARA</t>
        </r>
      </text>
    </comment>
    <comment ref="FP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YARA</t>
        </r>
      </text>
    </comment>
    <comment ref="FS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AIR LIQUIDE</t>
        </r>
      </text>
    </comment>
    <comment ref="FV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TRANSPORTS VINCENT</t>
        </r>
      </text>
    </comment>
    <comment ref="FY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SITA</t>
        </r>
      </text>
    </comment>
    <comment ref="GB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GE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GH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carrieres et chaux</t>
        </r>
      </text>
    </comment>
    <comment ref="GK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prochim</t>
        </r>
      </text>
    </comment>
    <comment ref="GN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Debeaux</t>
        </r>
      </text>
    </comment>
    <comment ref="GQ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GT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GW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HC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sita</t>
        </r>
      </text>
    </comment>
    <comment ref="HF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Norit</t>
        </r>
      </text>
    </comment>
    <comment ref="HI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feraser</t>
        </r>
      </text>
    </comment>
    <comment ref="HL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HO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HR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Y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erreur de saisi sur décembre
regul fac 101532</t>
        </r>
      </text>
    </comment>
    <comment ref="AN20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Pompes MJM</t>
        </r>
      </text>
    </comment>
    <comment ref="AS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PAYE 82,15</t>
        </r>
      </text>
    </comment>
    <comment ref="CM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CP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REXEL</t>
        </r>
      </text>
    </comment>
    <comment ref="CS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PICON</t>
        </r>
      </text>
    </comment>
    <comment ref="CV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provence recyclage</t>
        </r>
      </text>
    </comment>
    <comment ref="CY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vwr
</t>
        </r>
      </text>
    </comment>
    <comment ref="DB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transport et logistique de provence</t>
        </r>
      </text>
    </comment>
    <comment ref="DE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YARA</t>
        </r>
      </text>
    </comment>
    <comment ref="DH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DK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SITA</t>
        </r>
      </text>
    </comment>
    <comment ref="DN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Q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T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carrière et chaux</t>
        </r>
      </text>
    </comment>
    <comment ref="DW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DZ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EUROTECH
101532
</t>
        </r>
      </text>
    </comment>
    <comment ref="EC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avenir Process
Payé par Chq n°94 MTP</t>
        </r>
      </text>
    </comment>
    <comment ref="EF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CIBA</t>
        </r>
      </text>
    </comment>
    <comment ref="EI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EL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EO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ICE</t>
        </r>
      </text>
    </comment>
    <comment ref="ER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ACE</t>
        </r>
      </text>
    </comment>
    <comment ref="EU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MCI2</t>
        </r>
      </text>
    </comment>
    <comment ref="EX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AIR LIQUIDE</t>
        </r>
      </text>
    </comment>
    <comment ref="FA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FD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FG2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FERASER</t>
        </r>
      </text>
    </comment>
    <comment ref="H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FAC fev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 10/06/20110
</t>
        </r>
      </text>
    </comment>
    <comment ref="O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2500 € HT à déduire sur la facture de 7 881,38 € HT… fac FC 6006 payée 2 fois</t>
        </r>
      </text>
    </comment>
    <comment ref="P21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
</t>
        </r>
      </text>
    </comment>
    <comment ref="AU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payé 3470</t>
        </r>
      </text>
    </comment>
    <comment ref="CM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CHQ 167 MTP</t>
        </r>
      </text>
    </comment>
    <comment ref="CP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SITA</t>
        </r>
      </text>
    </comment>
    <comment ref="CS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prochim</t>
        </r>
      </text>
    </comment>
    <comment ref="CY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DB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DE21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sCUOCH</t>
        </r>
      </text>
    </comment>
    <comment ref="DH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K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Picon</t>
        </r>
      </text>
    </comment>
    <comment ref="DN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DQ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T21" authorId="1">
      <text>
        <r>
          <rPr>
            <b/>
            <sz val="8"/>
            <color indexed="81"/>
            <rFont val="Tahoma"/>
            <family val="2"/>
          </rPr>
          <t xml:space="preserve"> :SPIE OIL</t>
        </r>
      </text>
    </comment>
    <comment ref="DW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ICE</t>
        </r>
      </text>
    </comment>
    <comment ref="DZ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EC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EF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NALCO</t>
        </r>
      </text>
    </comment>
    <comment ref="EI2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mondialisol</t>
        </r>
      </text>
    </comment>
    <comment ref="EL21" authorId="1">
      <text>
        <r>
          <rPr>
            <b/>
            <sz val="8"/>
            <color indexed="81"/>
            <rFont val="Tahoma"/>
            <family val="2"/>
          </rPr>
          <t xml:space="preserve"> :
Wesrtrand</t>
        </r>
      </text>
    </comment>
    <comment ref="EO21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Scuoch
</t>
        </r>
      </text>
    </comment>
    <comment ref="ER21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VFLI</t>
        </r>
      </text>
    </comment>
    <comment ref="M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le 14/05/10</t>
        </r>
      </text>
    </comment>
    <comment ref="R22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gc voir SNA</t>
        </r>
      </text>
    </comment>
    <comment ref="AL22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gc voir VWR</t>
        </r>
      </text>
    </comment>
    <comment ref="AQ22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 location</t>
        </r>
      </text>
    </comment>
    <comment ref="CM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CP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CS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CV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CY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DB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E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ICE</t>
        </r>
      </text>
    </comment>
    <comment ref="DH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TECNITUDE</t>
        </r>
      </text>
    </comment>
    <comment ref="DK22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N22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vfli</t>
        </r>
      </text>
    </comment>
    <comment ref="DQ22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VFLI
</t>
        </r>
      </text>
    </comment>
    <comment ref="Z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CDE VRD</t>
        </r>
      </text>
    </comment>
    <comment ref="AD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payé 495
payé 1120</t>
        </r>
      </text>
    </comment>
    <comment ref="CP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MCI2</t>
        </r>
      </text>
    </comment>
    <comment ref="CS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tecnitude</t>
        </r>
      </text>
    </comment>
    <comment ref="CV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CY23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Blockflex</t>
        </r>
      </text>
    </comment>
    <comment ref="DB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rexel</t>
        </r>
      </text>
    </comment>
    <comment ref="DE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samat</t>
        </r>
      </text>
    </comment>
    <comment ref="DH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K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N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hertz</t>
        </r>
      </text>
    </comment>
    <comment ref="DQ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MCI2</t>
        </r>
      </text>
    </comment>
    <comment ref="DT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YARA</t>
        </r>
      </text>
    </comment>
    <comment ref="DW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Z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EC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Technic Fluides</t>
        </r>
      </text>
    </comment>
    <comment ref="EF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hertz</t>
        </r>
      </text>
    </comment>
    <comment ref="EI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WESTRAND</t>
        </r>
      </text>
    </comment>
    <comment ref="EL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EO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ER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eurotech 13</t>
        </r>
      </text>
    </comment>
    <comment ref="EU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EX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FA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FD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FG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TECNITUDE</t>
        </r>
      </text>
    </comment>
    <comment ref="FJ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provence recyclage</t>
        </r>
      </text>
    </comment>
    <comment ref="FM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FP2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AG2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Prelevement bancaire</t>
        </r>
      </text>
    </comment>
    <comment ref="BD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21600 cnim Payé
payé 15 997,46
</t>
        </r>
      </text>
    </comment>
    <comment ref="BF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Déjà reglé par chq 767 
1369,80
+ virement 3 196,20 du 16/09</t>
        </r>
      </text>
    </comment>
    <comment ref="CM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Helyon chq 767</t>
        </r>
      </text>
    </comment>
    <comment ref="CP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ADF</t>
        </r>
      </text>
    </comment>
    <comment ref="CS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SAMAT</t>
        </r>
      </text>
    </comment>
    <comment ref="CV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HERTZ</t>
        </r>
      </text>
    </comment>
    <comment ref="CY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DB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E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europ elec</t>
        </r>
      </text>
    </comment>
    <comment ref="DH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DK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helyon</t>
        </r>
      </text>
    </comment>
    <comment ref="DN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DQ2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EC24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Technic Fluides</t>
        </r>
      </text>
    </comment>
    <comment ref="BD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840 INGENERIA
paye 9598,48</t>
        </r>
      </text>
    </comment>
    <comment ref="BI25" authorId="1">
      <text>
        <r>
          <rPr>
            <b/>
            <sz val="8"/>
            <color indexed="81"/>
            <rFont val="Tahoma"/>
            <family val="2"/>
          </rPr>
          <t xml:space="preserve"> :
150 PAYE
580 PAYE</t>
        </r>
        <r>
          <rPr>
            <sz val="8"/>
            <color indexed="81"/>
            <rFont val="Tahoma"/>
            <family val="2"/>
          </rPr>
          <t xml:space="preserve">
fac F1006/044 avec lot 6 total 1600 € HT</t>
        </r>
      </text>
    </comment>
    <comment ref="CM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HeGo Biotec</t>
        </r>
      </text>
    </comment>
    <comment ref="CP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SAMAT</t>
        </r>
      </text>
    </comment>
    <comment ref="CS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CV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NEWTECH</t>
        </r>
      </text>
    </comment>
    <comment ref="CY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NEWTECH</t>
        </r>
      </text>
    </comment>
    <comment ref="DB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TECHNIC FLUIDES</t>
        </r>
      </text>
    </comment>
    <comment ref="DE25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Technitude</t>
        </r>
      </text>
    </comment>
    <comment ref="DH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DK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DN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DQ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T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tecnitude</t>
        </r>
      </text>
    </comment>
    <comment ref="DW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ICCI</t>
        </r>
      </text>
    </comment>
    <comment ref="DZ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EC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BOLLORE</t>
        </r>
      </text>
    </comment>
    <comment ref="EF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EI25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PCM
</t>
        </r>
      </text>
    </comment>
    <comment ref="AZ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421,92 Payé
1123,52 Payé
381,92 Payé
550,32 Payé</t>
        </r>
      </text>
    </comment>
    <comment ref="BD26" authorId="1">
      <text>
        <r>
          <rPr>
            <sz val="8"/>
            <color indexed="81"/>
            <rFont val="Tahoma"/>
            <family val="2"/>
          </rPr>
          <t>avoir -26 000
avoir - 2 800
facture : 6500 cnim payé
5200 evere payé
1300 UE PAYE</t>
        </r>
      </text>
    </comment>
    <comment ref="CM2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CP2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NEWTECH</t>
        </r>
      </text>
    </comment>
    <comment ref="CS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International Management</t>
        </r>
      </text>
    </comment>
    <comment ref="CV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Binder</t>
        </r>
      </text>
    </comment>
    <comment ref="CY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adf</t>
        </r>
      </text>
    </comment>
    <comment ref="DB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Delta Recyclage</t>
        </r>
      </text>
    </comment>
    <comment ref="DE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H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Sarens</t>
        </r>
      </text>
    </comment>
    <comment ref="DK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Eurotech 13</t>
        </r>
      </text>
    </comment>
    <comment ref="DN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Air Liquide</t>
        </r>
      </text>
    </comment>
    <comment ref="DQ26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Spie
</t>
        </r>
      </text>
    </comment>
    <comment ref="DT2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DW2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DZ2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EC2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VFLI</t>
        </r>
      </text>
    </comment>
    <comment ref="BB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3300 Payé
765 Payé
1395 Payé
1485 Payé
3000 Payé
9000 payé
1358,50 payé
1057,50 payé
1147,50 payé</t>
        </r>
      </text>
    </comment>
    <comment ref="CM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CP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Sotres</t>
        </r>
      </text>
    </comment>
    <comment ref="CS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Biotechnia</t>
        </r>
      </text>
    </comment>
    <comment ref="CV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Newtech</t>
        </r>
      </text>
    </comment>
    <comment ref="CY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vEOLIA</t>
        </r>
      </text>
    </comment>
    <comment ref="DB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E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Netco</t>
        </r>
      </text>
    </comment>
    <comment ref="DH2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Transportes Silim</t>
        </r>
      </text>
    </comment>
    <comment ref="DK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binder</t>
        </r>
      </text>
    </comment>
    <comment ref="DN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Q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T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TRANSPORT GENTE</t>
        </r>
      </text>
    </comment>
    <comment ref="DW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Z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EC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MTI</t>
        </r>
      </text>
    </comment>
    <comment ref="EF27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AG28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 bancaire</t>
        </r>
      </text>
    </comment>
    <comment ref="CM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CP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rexel</t>
        </r>
      </text>
    </comment>
    <comment ref="CS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PROVENCE COM</t>
        </r>
      </text>
    </comment>
    <comment ref="CV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SILIM</t>
        </r>
      </text>
    </comment>
    <comment ref="CY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LOXAM</t>
        </r>
      </text>
    </comment>
    <comment ref="DB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E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rexel</t>
        </r>
      </text>
    </comment>
    <comment ref="DH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rexel</t>
        </r>
      </text>
    </comment>
    <comment ref="DK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NEWTECH</t>
        </r>
      </text>
    </comment>
    <comment ref="DN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FIVAL</t>
        </r>
      </text>
    </comment>
    <comment ref="DQ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T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W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EC2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MTI</t>
        </r>
      </text>
    </comment>
    <comment ref="M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payé 4600
payé 4000</t>
        </r>
      </text>
    </comment>
    <comment ref="CC29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Al pasar de 8% al 7%.</t>
        </r>
      </text>
    </comment>
    <comment ref="CM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CP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silim</t>
        </r>
      </text>
    </comment>
    <comment ref="CS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CV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DB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E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PROVENCE RECYCLAGE</t>
        </r>
      </text>
    </comment>
    <comment ref="DH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BERGERAT MONNOYEUR</t>
        </r>
      </text>
    </comment>
    <comment ref="DK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SPIE OIL</t>
        </r>
      </text>
    </comment>
    <comment ref="DN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silim</t>
        </r>
      </text>
    </comment>
    <comment ref="DQ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international manag'men</t>
        </r>
      </text>
    </comment>
    <comment ref="DT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DW2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BRONZO</t>
        </r>
      </text>
    </comment>
    <comment ref="CM3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REXEL</t>
        </r>
      </text>
    </comment>
    <comment ref="CP30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eneria</t>
        </r>
      </text>
    </comment>
    <comment ref="CM3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hego biotec</t>
        </r>
      </text>
    </comment>
    <comment ref="CP3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ABB</t>
        </r>
      </text>
    </comment>
    <comment ref="CS3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  <comment ref="CV31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hego biotec</t>
        </r>
      </text>
    </comment>
    <comment ref="CY31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SPIE</t>
        </r>
      </text>
    </comment>
    <comment ref="DB31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Guigues</t>
        </r>
      </text>
    </comment>
    <comment ref="DE31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apave</t>
        </r>
      </text>
    </comment>
    <comment ref="CM33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CP33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ORTEC</t>
        </r>
      </text>
    </comment>
    <comment ref="CM34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EREC</t>
        </r>
      </text>
    </comment>
    <comment ref="CP34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SNG</t>
        </r>
      </text>
    </comment>
    <comment ref="CS34" authorId="2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Transmeca</t>
        </r>
      </text>
    </comment>
  </commentList>
</comments>
</file>

<file path=xl/comments2.xml><?xml version="1.0" encoding="utf-8"?>
<comments xmlns="http://schemas.openxmlformats.org/spreadsheetml/2006/main">
  <authors>
    <author>f.bencomo</author>
    <author xml:space="preserve"> 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Bougandoura
Chebli
Benmerkhi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440 €/j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15166*6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480 €/j</t>
        </r>
      </text>
    </comment>
    <comment ref="G16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pirat</t>
        </r>
      </text>
    </comment>
    <comment ref="H1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FAC fev</t>
        </r>
      </text>
    </comment>
  </commentList>
</comments>
</file>

<file path=xl/comments3.xml><?xml version="1.0" encoding="utf-8"?>
<comments xmlns="http://schemas.openxmlformats.org/spreadsheetml/2006/main">
  <authors>
    <author>f.bencomo</author>
    <author xml:space="preserve"> 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</t>
        </r>
      </text>
    </comment>
    <comment ref="C8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regul gasoil (330+12) payé
regul gasoil (330+12) payé Evere</t>
        </r>
      </text>
    </comment>
    <comment ref="I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erreur de saisi sur décembre
regul fac 101532</t>
        </r>
      </text>
    </comment>
    <comment ref="Q9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PAYE 82,15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
</t>
        </r>
      </text>
    </comment>
    <comment ref="O11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 location</t>
        </r>
      </text>
    </comment>
    <comment ref="U13" authorId="1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Déjà reglé par chq 767 
1369,80
+ virement 3 196,20 du 16/09</t>
        </r>
      </text>
    </comment>
    <comment ref="W14" authorId="1">
      <text>
        <r>
          <rPr>
            <b/>
            <sz val="8"/>
            <color indexed="81"/>
            <rFont val="Tahoma"/>
            <family val="2"/>
          </rPr>
          <t xml:space="preserve"> :
150 PAYE
580 PAYE</t>
        </r>
        <r>
          <rPr>
            <sz val="8"/>
            <color indexed="81"/>
            <rFont val="Tahoma"/>
            <family val="2"/>
          </rPr>
          <t xml:space="preserve">
fac F1006/044 avec lot 6 total 1600 € HT</t>
        </r>
      </text>
    </comment>
    <comment ref="S15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421,92 Payé
1123,52 Payé
381,92 Payé
550,32 Payé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f.bencomo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le 15/01/10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le 15/01/10</t>
        </r>
      </text>
    </comment>
    <comment ref="L7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Prelevement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13/04/10</t>
        </r>
      </text>
    </comment>
    <comment ref="C10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 10/06/20110
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2500 € HT à déduire sur la facture de 7 881,38 € HT… fac FC 6006 payée 2 fois</t>
        </r>
      </text>
    </comment>
    <comment ref="R10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payé 3470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evere payé le 14/05/10</t>
        </r>
      </text>
    </comment>
    <comment ref="E11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gc voir SNA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CDE VRD</t>
        </r>
      </text>
    </comment>
    <comment ref="J12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payé 495
payé 1120</t>
        </r>
      </text>
    </comment>
    <comment ref="L13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Prelevement bancaire</t>
        </r>
      </text>
    </comment>
    <comment ref="X13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21600 cnim Payé
payé 15 997,46
</t>
        </r>
      </text>
    </comment>
    <comment ref="X1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840 INGENERIA
paye 9598,48</t>
        </r>
      </text>
    </comment>
    <comment ref="X15" authorId="0">
      <text>
        <r>
          <rPr>
            <sz val="8"/>
            <color indexed="81"/>
            <rFont val="Tahoma"/>
            <family val="2"/>
          </rPr>
          <t>avoir -26 000
avoir - 2 800
facture : 6500 cnim payé
5200 evere payé
1300 UE PAYE</t>
        </r>
      </text>
    </comment>
    <comment ref="W16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3300 Payé
765 Payé
1395 Payé
1485 Payé
3000 Payé
9000 payé
1358,50 payé
1057,50 payé
1147,50 payé</t>
        </r>
      </text>
    </comment>
    <comment ref="L17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P bancaire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payé 4600
payé 4000</t>
        </r>
      </text>
    </comment>
  </commentList>
</comments>
</file>

<file path=xl/comments5.xml><?xml version="1.0" encoding="utf-8"?>
<comments xmlns="http://schemas.openxmlformats.org/spreadsheetml/2006/main">
  <authors>
    <author>f.bencomo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Evere</t>
        </r>
      </text>
    </comment>
  </commentList>
</comments>
</file>

<file path=xl/sharedStrings.xml><?xml version="1.0" encoding="utf-8"?>
<sst xmlns="http://schemas.openxmlformats.org/spreadsheetml/2006/main" count="593" uniqueCount="294">
  <si>
    <t>Codigo Analitico</t>
  </si>
  <si>
    <t>Detalle:</t>
  </si>
  <si>
    <t>TOTAL</t>
  </si>
  <si>
    <t>Pagada</t>
  </si>
  <si>
    <t>OCDIGG</t>
  </si>
  <si>
    <t>MIS</t>
  </si>
  <si>
    <t>DOE ACE</t>
  </si>
  <si>
    <t>ICCI (Pelouzet)</t>
  </si>
  <si>
    <t>ICE LAOU HAP 11500</t>
  </si>
  <si>
    <t>INTER MANAG Bruno James</t>
  </si>
  <si>
    <t>INTER MANAG Bachir</t>
  </si>
  <si>
    <t>EKIUM Pascal Allel</t>
  </si>
  <si>
    <t>EREC Kun Lekhief</t>
  </si>
  <si>
    <t>Transport Silim</t>
  </si>
  <si>
    <t>Prev Cons</t>
  </si>
  <si>
    <t>Prev Electricite</t>
  </si>
  <si>
    <t>E Pollet SPIE</t>
  </si>
  <si>
    <t>Provision</t>
  </si>
  <si>
    <t>Technitude</t>
  </si>
  <si>
    <t>Bollore</t>
  </si>
  <si>
    <t>Lange</t>
  </si>
  <si>
    <t>SNA</t>
  </si>
  <si>
    <t>RTE</t>
  </si>
  <si>
    <t>CABLERIE ST ANTOINE</t>
  </si>
  <si>
    <t>ORTEC</t>
  </si>
  <si>
    <t>EUROFILTRES</t>
  </si>
  <si>
    <t>SCUOCH</t>
  </si>
  <si>
    <t>CTF</t>
  </si>
  <si>
    <t>SITA</t>
  </si>
  <si>
    <t>MCI2</t>
  </si>
  <si>
    <t>MONDIALISOL</t>
  </si>
  <si>
    <t>Carrières et Chaux</t>
  </si>
  <si>
    <t>Doc in networks</t>
  </si>
  <si>
    <t>AVENIR PROCESS</t>
  </si>
  <si>
    <t>EKIUM Emmanuel Pirat</t>
  </si>
  <si>
    <t>Transport et logistique de Provence</t>
  </si>
  <si>
    <t>Norit</t>
  </si>
  <si>
    <t>VWR</t>
  </si>
  <si>
    <t>DEBEAUX</t>
  </si>
  <si>
    <t>DUBUISSON</t>
  </si>
  <si>
    <t>Transport Vincent</t>
  </si>
  <si>
    <t>FERASER</t>
  </si>
  <si>
    <t>AIR LIQUIDE</t>
  </si>
  <si>
    <t>CIBA</t>
  </si>
  <si>
    <t>Vincent</t>
  </si>
  <si>
    <t>Logivrac</t>
  </si>
  <si>
    <t>Michaud</t>
  </si>
  <si>
    <t>REXEL</t>
  </si>
  <si>
    <t>Provence Recyclage</t>
  </si>
  <si>
    <t>Picon</t>
  </si>
  <si>
    <t>Westrand Dechets</t>
  </si>
  <si>
    <t>Fuel</t>
  </si>
  <si>
    <t>Univar</t>
  </si>
  <si>
    <t>Acid 30%</t>
  </si>
  <si>
    <t>Diffpap</t>
  </si>
  <si>
    <t>Prochim</t>
  </si>
  <si>
    <t>Acid 50%</t>
  </si>
  <si>
    <t>Nalco</t>
  </si>
  <si>
    <t>Yara</t>
  </si>
  <si>
    <t>Cal</t>
  </si>
  <si>
    <t>CMD</t>
  </si>
  <si>
    <t>ACROTEC</t>
  </si>
  <si>
    <t>PERSONNEL</t>
  </si>
  <si>
    <t>Transport</t>
  </si>
  <si>
    <t>Perfume (Inst, loc prod)</t>
  </si>
  <si>
    <t>Spectrophotometer</t>
  </si>
  <si>
    <t>Serveur</t>
  </si>
  <si>
    <t>Material Ofic DOE</t>
  </si>
  <si>
    <t>Elec</t>
  </si>
  <si>
    <t>Cables</t>
  </si>
  <si>
    <t>Services pompage</t>
  </si>
  <si>
    <t>Crepine</t>
  </si>
  <si>
    <t>Produit Labo</t>
  </si>
  <si>
    <t>Service Soudure</t>
  </si>
  <si>
    <t>Tuyauterie</t>
  </si>
  <si>
    <t>Ammoniaque</t>
  </si>
  <si>
    <t>Charbon actif</t>
  </si>
  <si>
    <t>SERVICE COUPE FEU</t>
  </si>
  <si>
    <t>TRAITEMENT</t>
  </si>
  <si>
    <t>Fotocopiadora</t>
  </si>
  <si>
    <t>Fibra OPTICA</t>
  </si>
  <si>
    <t>Labo</t>
  </si>
  <si>
    <t>Asistencia Tecnica SNCC</t>
  </si>
  <si>
    <t>Racleur</t>
  </si>
  <si>
    <t>gas</t>
  </si>
  <si>
    <t>COFFRET</t>
  </si>
  <si>
    <t>Transport Container</t>
  </si>
  <si>
    <t>Tremie</t>
  </si>
  <si>
    <t>Robinetterie</t>
  </si>
  <si>
    <t>Personnel</t>
  </si>
  <si>
    <t>Assist. Tech.</t>
  </si>
  <si>
    <t>Acid</t>
  </si>
  <si>
    <t>Chaux</t>
  </si>
  <si>
    <t>Charbon Act</t>
  </si>
  <si>
    <t>Achats</t>
  </si>
  <si>
    <t>Location Conveyeur</t>
  </si>
  <si>
    <t>Spectophotometer</t>
  </si>
  <si>
    <t>Loc Conveyeur</t>
  </si>
  <si>
    <t>Desodeur</t>
  </si>
  <si>
    <t>Transp Dech</t>
  </si>
  <si>
    <t>Traitement</t>
  </si>
  <si>
    <t>Informatique</t>
  </si>
  <si>
    <t>Mat Bureau</t>
  </si>
  <si>
    <t>Pompage</t>
  </si>
  <si>
    <t>Coupe-feu</t>
  </si>
  <si>
    <t>Soudure</t>
  </si>
  <si>
    <t>Fibre optique</t>
  </si>
  <si>
    <t>Coffret</t>
  </si>
  <si>
    <t>Gas</t>
  </si>
  <si>
    <t>Services</t>
  </si>
  <si>
    <t>Suministros</t>
  </si>
  <si>
    <t>Electricidad</t>
  </si>
  <si>
    <t>Fotocopias</t>
  </si>
  <si>
    <t>Laboratorio</t>
  </si>
  <si>
    <t>BUDGET</t>
  </si>
  <si>
    <t>B Diallo</t>
  </si>
  <si>
    <t>B James</t>
  </si>
  <si>
    <t>E Pollet</t>
  </si>
  <si>
    <t>B Lou-Hap</t>
  </si>
  <si>
    <t>N Pelouzet</t>
  </si>
  <si>
    <t>Kun</t>
  </si>
  <si>
    <t>Lekhieff</t>
  </si>
  <si>
    <t>Per GC DOE</t>
  </si>
  <si>
    <t>Finito mars 10</t>
  </si>
  <si>
    <t>Pascal Allel</t>
  </si>
  <si>
    <t>Finito fév 10</t>
  </si>
  <si>
    <t>Finito déc 09</t>
  </si>
  <si>
    <t>EREC</t>
  </si>
  <si>
    <t>ACE</t>
  </si>
  <si>
    <t>EKIUM</t>
  </si>
  <si>
    <t>Finito avril 10</t>
  </si>
  <si>
    <t>ICE</t>
  </si>
  <si>
    <t>Aout</t>
  </si>
  <si>
    <t>Avril</t>
  </si>
  <si>
    <t>INTER MANAG</t>
  </si>
  <si>
    <t>ACE/ICCI</t>
  </si>
  <si>
    <t>EKIUM/EREC</t>
  </si>
  <si>
    <t>SPIE</t>
  </si>
  <si>
    <t>BOLLORE</t>
  </si>
  <si>
    <t>UNIVAR</t>
  </si>
  <si>
    <t>PROCHIM</t>
  </si>
  <si>
    <t>YARA</t>
  </si>
  <si>
    <t>CARRIERE</t>
  </si>
  <si>
    <t xml:space="preserve">ET </t>
  </si>
  <si>
    <t>CHAUX</t>
  </si>
  <si>
    <t>NORIT</t>
  </si>
  <si>
    <t>NALCO</t>
  </si>
  <si>
    <t>CABLERIE</t>
  </si>
  <si>
    <t>ST</t>
  </si>
  <si>
    <t>ANTOINE</t>
  </si>
  <si>
    <t>DIFPAP</t>
  </si>
  <si>
    <t>LANGE</t>
  </si>
  <si>
    <t>EDF</t>
  </si>
  <si>
    <t>PICON</t>
  </si>
  <si>
    <t>Travaux divers</t>
  </si>
  <si>
    <t>DOC</t>
  </si>
  <si>
    <t>IN</t>
  </si>
  <si>
    <t>NETWORK</t>
  </si>
  <si>
    <t>MICHAUD</t>
  </si>
  <si>
    <t>VINCENT</t>
  </si>
  <si>
    <t xml:space="preserve">PROVENCE </t>
  </si>
  <si>
    <t>RECYCLAGE</t>
  </si>
  <si>
    <t>WESTRAND</t>
  </si>
  <si>
    <t>TECNITUDE</t>
  </si>
  <si>
    <t>SCOUCH</t>
  </si>
  <si>
    <t>Produits Chimique</t>
  </si>
  <si>
    <t>Emm Pirate</t>
  </si>
  <si>
    <t>apave (environ 75 000 essai de performances)</t>
  </si>
  <si>
    <t>VFLI</t>
  </si>
  <si>
    <t>Transport ferrer</t>
  </si>
  <si>
    <t>SILIM/VFLI</t>
  </si>
  <si>
    <t>Consommables</t>
  </si>
  <si>
    <t>SILIM</t>
  </si>
  <si>
    <t>NETWORKS</t>
  </si>
  <si>
    <t>UE</t>
  </si>
  <si>
    <t>EVERE</t>
  </si>
  <si>
    <t>Electricité</t>
  </si>
  <si>
    <t>Total</t>
  </si>
  <si>
    <t>Assitance T</t>
  </si>
  <si>
    <t>Date</t>
  </si>
  <si>
    <t>Facture</t>
  </si>
  <si>
    <t>Avoir</t>
  </si>
  <si>
    <t>diff</t>
  </si>
  <si>
    <t>Fact rect</t>
  </si>
  <si>
    <t>avoir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</si>
  <si>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</si>
  <si>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</si>
  <si>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</si>
  <si>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</si>
  <si>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</si>
  <si>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</si>
  <si>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</si>
  <si>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</si>
  <si>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</si>
  <si>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Reclamation EDF</t>
  </si>
  <si>
    <t>UE PAYE</t>
  </si>
  <si>
    <t>UE A PAYER</t>
  </si>
  <si>
    <t>EDF A PAYER</t>
  </si>
  <si>
    <t>REALITE</t>
  </si>
  <si>
    <t>UE PAYERA</t>
  </si>
  <si>
    <t>Hertz</t>
  </si>
  <si>
    <t>SAMAT</t>
  </si>
  <si>
    <t>transport</t>
  </si>
  <si>
    <t>ICCI (N. Pelouzet)</t>
  </si>
  <si>
    <t>EREC (Lekhieff)</t>
  </si>
  <si>
    <t>IM (Bruno Jammes)</t>
  </si>
  <si>
    <t>EREC (Kuhn)</t>
  </si>
  <si>
    <t>SPIE (Pollet)</t>
  </si>
  <si>
    <t>HE Astrant</t>
  </si>
  <si>
    <t>Nettoyers (tri-sec)</t>
  </si>
  <si>
    <t>Interimaire descarga</t>
  </si>
  <si>
    <t>Ortec (Pompage)</t>
  </si>
  <si>
    <t>Samat (Transport)</t>
  </si>
  <si>
    <t>Technifluid (Caldera)</t>
  </si>
  <si>
    <t>Divers</t>
  </si>
  <si>
    <t>Autres</t>
  </si>
  <si>
    <t>BUDGET MIS</t>
  </si>
  <si>
    <t>eurotech13</t>
  </si>
  <si>
    <t>TecnicFluides</t>
  </si>
  <si>
    <t>Trans Meca</t>
  </si>
  <si>
    <t>Blocflex</t>
  </si>
  <si>
    <t>SUMINISTROS</t>
  </si>
  <si>
    <t>FACTURES ET AVOIRS ENREGISTRES DANS MIS</t>
  </si>
  <si>
    <t>TOTAL SUMINISTROS</t>
  </si>
  <si>
    <t>MIS FAC UE</t>
  </si>
  <si>
    <t>SUMINISTROS FAC UE</t>
  </si>
  <si>
    <t>MIS FAC EVERE</t>
  </si>
  <si>
    <t>Avoirs</t>
  </si>
  <si>
    <t>AJUSTEMENT</t>
  </si>
  <si>
    <t>TOTAL COUT</t>
  </si>
  <si>
    <t>Factures 2</t>
  </si>
  <si>
    <t>Ecart fac 1 et 2</t>
  </si>
  <si>
    <t>Factures 1 enregistrées</t>
  </si>
  <si>
    <t>Autres II</t>
  </si>
  <si>
    <t>APAVE</t>
  </si>
  <si>
    <t>ADF</t>
  </si>
  <si>
    <t>HELYON</t>
  </si>
  <si>
    <t>Europ Elec</t>
  </si>
  <si>
    <t>HeGo Biotec</t>
  </si>
  <si>
    <t>Newtech</t>
  </si>
  <si>
    <t>PCM</t>
  </si>
  <si>
    <t>Binder+Co</t>
  </si>
  <si>
    <t>DELTA RECYCLAGE</t>
  </si>
  <si>
    <t>Sarens Sud</t>
  </si>
  <si>
    <t>SOTRES</t>
  </si>
  <si>
    <t>VEOLIA</t>
  </si>
  <si>
    <t>BIOTECHNA</t>
  </si>
  <si>
    <t>NETCO</t>
  </si>
  <si>
    <t>MTI</t>
  </si>
  <si>
    <t>Coffret BRS</t>
  </si>
  <si>
    <t xml:space="preserve">  </t>
  </si>
  <si>
    <t>Transport Gente J</t>
  </si>
  <si>
    <t>LOXAM</t>
  </si>
  <si>
    <t>FIVAL</t>
  </si>
  <si>
    <t>Veolia Propreté</t>
  </si>
  <si>
    <t>Location</t>
  </si>
  <si>
    <t>Plataformas</t>
  </si>
  <si>
    <t>Servicio</t>
  </si>
  <si>
    <t>Discos Ruptura</t>
  </si>
  <si>
    <t>Oxido Ferrico</t>
  </si>
  <si>
    <t>Bombas</t>
  </si>
  <si>
    <t>Mallas</t>
  </si>
  <si>
    <t>Carton</t>
  </si>
  <si>
    <t>Transporte</t>
  </si>
  <si>
    <t>Location Chaudiere</t>
  </si>
  <si>
    <t>Tauyauterie</t>
  </si>
  <si>
    <t>Service Bande Transporteuse</t>
  </si>
  <si>
    <t>Servicio BRS</t>
  </si>
  <si>
    <t>Groupe Hydraulic BRS</t>
  </si>
  <si>
    <t>Traitment</t>
  </si>
  <si>
    <t>Servicio Elec</t>
  </si>
  <si>
    <t xml:space="preserve">Flexibles </t>
  </si>
  <si>
    <t>Servicios</t>
  </si>
  <si>
    <t>Varios</t>
  </si>
  <si>
    <t>Productos</t>
  </si>
  <si>
    <t>Assystem</t>
  </si>
  <si>
    <t>Bergerat Monnoyeur</t>
  </si>
  <si>
    <t>Bronzo</t>
  </si>
  <si>
    <t>URBASER SA</t>
  </si>
  <si>
    <t>Evéré</t>
  </si>
  <si>
    <t>ENERIA</t>
  </si>
  <si>
    <t xml:space="preserve">GUIGUES </t>
  </si>
  <si>
    <t>ABB</t>
  </si>
  <si>
    <t>Bonfiglioli</t>
  </si>
  <si>
    <t xml:space="preserve">INTER MANAG </t>
  </si>
  <si>
    <t>Bruno James</t>
  </si>
  <si>
    <t>Bachir</t>
  </si>
  <si>
    <t>ICE LAOU HAP</t>
  </si>
  <si>
    <t xml:space="preserve">EKIUM </t>
  </si>
  <si>
    <t>Emmanuel Pirat</t>
  </si>
  <si>
    <t xml:space="preserve"> Kun Lekhief</t>
  </si>
  <si>
    <t xml:space="preserve"> SPIE</t>
  </si>
  <si>
    <t>Electricite</t>
  </si>
  <si>
    <t>Bande Transporteuse</t>
  </si>
</sst>
</file>

<file path=xl/styles.xml><?xml version="1.0" encoding="utf-8"?>
<styleSheet xmlns="http://schemas.openxmlformats.org/spreadsheetml/2006/main">
  <numFmts count="1">
    <numFmt numFmtId="166" formatCode="dd/mm/yy;@"/>
  </numFmts>
  <fonts count="97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Vertical">
        <fgColor indexed="49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17" fontId="0" fillId="0" borderId="0" xfId="0" applyNumberFormat="1"/>
    <xf numFmtId="4" fontId="0" fillId="0" borderId="0" xfId="0" applyNumberFormat="1" applyFill="1"/>
    <xf numFmtId="4" fontId="2" fillId="0" borderId="0" xfId="0" applyNumberFormat="1" applyFont="1"/>
    <xf numFmtId="14" fontId="0" fillId="0" borderId="0" xfId="0" applyNumberFormat="1" applyFill="1"/>
    <xf numFmtId="0" fontId="0" fillId="0" borderId="0" xfId="0" applyFill="1"/>
    <xf numFmtId="0" fontId="2" fillId="0" borderId="0" xfId="0" applyFont="1" applyAlignment="1"/>
    <xf numFmtId="1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166" fontId="1" fillId="0" borderId="0" xfId="0" applyNumberFormat="1" applyFont="1" applyFill="1"/>
    <xf numFmtId="166" fontId="0" fillId="0" borderId="0" xfId="0" applyNumberFormat="1" applyFill="1"/>
    <xf numFmtId="0" fontId="4" fillId="0" borderId="0" xfId="0" applyFont="1" applyAlignment="1">
      <alignment horizontal="center"/>
    </xf>
    <xf numFmtId="17" fontId="0" fillId="0" borderId="0" xfId="0" applyNumberFormat="1" applyFill="1"/>
    <xf numFmtId="4" fontId="2" fillId="0" borderId="0" xfId="0" applyNumberFormat="1" applyFont="1" applyFill="1"/>
    <xf numFmtId="9" fontId="0" fillId="0" borderId="0" xfId="0" applyNumberFormat="1" applyFill="1"/>
    <xf numFmtId="4" fontId="0" fillId="2" borderId="0" xfId="0" applyNumberFormat="1" applyFill="1"/>
    <xf numFmtId="14" fontId="0" fillId="0" borderId="0" xfId="0" applyNumberFormat="1"/>
    <xf numFmtId="4" fontId="0" fillId="3" borderId="0" xfId="0" applyNumberFormat="1" applyFill="1"/>
    <xf numFmtId="0" fontId="2" fillId="4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3" fillId="0" borderId="5" xfId="0" applyFont="1" applyBorder="1"/>
    <xf numFmtId="0" fontId="43" fillId="0" borderId="6" xfId="0" applyFont="1" applyBorder="1"/>
    <xf numFmtId="0" fontId="43" fillId="0" borderId="7" xfId="0" applyFont="1" applyBorder="1"/>
    <xf numFmtId="0" fontId="43" fillId="0" borderId="6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4" fontId="2" fillId="0" borderId="10" xfId="0" applyNumberFormat="1" applyFont="1" applyFill="1" applyBorder="1"/>
    <xf numFmtId="4" fontId="0" fillId="2" borderId="11" xfId="0" applyNumberFormat="1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4" fontId="2" fillId="2" borderId="3" xfId="0" applyNumberFormat="1" applyFont="1" applyFill="1" applyBorder="1"/>
    <xf numFmtId="4" fontId="2" fillId="0" borderId="11" xfId="0" applyNumberFormat="1" applyFont="1" applyFill="1" applyBorder="1"/>
    <xf numFmtId="4" fontId="0" fillId="5" borderId="12" xfId="0" applyNumberFormat="1" applyFill="1" applyBorder="1"/>
    <xf numFmtId="4" fontId="0" fillId="0" borderId="13" xfId="0" applyNumberFormat="1" applyFill="1" applyBorder="1"/>
    <xf numFmtId="0" fontId="0" fillId="0" borderId="13" xfId="0" applyFill="1" applyBorder="1"/>
    <xf numFmtId="0" fontId="0" fillId="0" borderId="11" xfId="0" applyFill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4" xfId="0" applyNumberFormat="1" applyFont="1" applyBorder="1"/>
    <xf numFmtId="4" fontId="2" fillId="5" borderId="3" xfId="0" applyNumberFormat="1" applyFont="1" applyFill="1" applyBorder="1"/>
    <xf numFmtId="4" fontId="0" fillId="0" borderId="12" xfId="0" applyNumberFormat="1" applyFill="1" applyBorder="1"/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4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 applyFill="1" applyBorder="1"/>
    <xf numFmtId="0" fontId="0" fillId="0" borderId="12" xfId="0" applyFill="1" applyBorder="1"/>
    <xf numFmtId="0" fontId="43" fillId="6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0" fillId="0" borderId="11" xfId="0" applyNumberFormat="1" applyFill="1" applyBorder="1"/>
    <xf numFmtId="4" fontId="0" fillId="6" borderId="0" xfId="0" applyNumberFormat="1" applyFill="1"/>
    <xf numFmtId="4" fontId="0" fillId="5" borderId="0" xfId="0" applyNumberFormat="1" applyFill="1"/>
    <xf numFmtId="0" fontId="0" fillId="7" borderId="0" xfId="0" applyFill="1"/>
    <xf numFmtId="4" fontId="0" fillId="7" borderId="0" xfId="0" applyNumberFormat="1" applyFill="1"/>
    <xf numFmtId="0" fontId="0" fillId="6" borderId="0" xfId="0" applyFill="1"/>
    <xf numFmtId="4" fontId="48" fillId="0" borderId="0" xfId="0" applyNumberFormat="1" applyFont="1" applyFill="1"/>
    <xf numFmtId="0" fontId="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3" fillId="0" borderId="0" xfId="0" applyFont="1" applyBorder="1"/>
    <xf numFmtId="4" fontId="0" fillId="0" borderId="0" xfId="0" applyNumberFormat="1" applyFill="1" applyBorder="1"/>
    <xf numFmtId="4" fontId="0" fillId="0" borderId="0" xfId="0" applyNumberFormat="1" applyBorder="1"/>
    <xf numFmtId="4" fontId="0" fillId="4" borderId="12" xfId="0" applyNumberFormat="1" applyFill="1" applyBorder="1"/>
    <xf numFmtId="4" fontId="4" fillId="0" borderId="0" xfId="0" applyNumberFormat="1" applyFont="1"/>
    <xf numFmtId="0" fontId="2" fillId="8" borderId="0" xfId="0" applyFont="1" applyFill="1" applyAlignment="1"/>
    <xf numFmtId="14" fontId="4" fillId="0" borderId="0" xfId="0" applyNumberFormat="1" applyFont="1"/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27" xfId="0" applyNumberFormat="1" applyFill="1" applyBorder="1"/>
    <xf numFmtId="4" fontId="0" fillId="0" borderId="28" xfId="0" applyNumberFormat="1" applyFill="1" applyBorder="1"/>
    <xf numFmtId="4" fontId="0" fillId="0" borderId="28" xfId="0" applyNumberFormat="1" applyBorder="1"/>
    <xf numFmtId="4" fontId="0" fillId="0" borderId="30" xfId="0" applyNumberFormat="1" applyFill="1" applyBorder="1"/>
    <xf numFmtId="0" fontId="4" fillId="0" borderId="32" xfId="0" applyFont="1" applyBorder="1"/>
    <xf numFmtId="4" fontId="0" fillId="5" borderId="33" xfId="0" applyNumberFormat="1" applyFill="1" applyBorder="1"/>
    <xf numFmtId="4" fontId="2" fillId="0" borderId="34" xfId="0" applyNumberFormat="1" applyFont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17" fontId="0" fillId="0" borderId="5" xfId="0" applyNumberFormat="1" applyBorder="1"/>
    <xf numFmtId="17" fontId="0" fillId="0" borderId="6" xfId="0" applyNumberFormat="1" applyBorder="1"/>
    <xf numFmtId="17" fontId="0" fillId="0" borderId="7" xfId="0" applyNumberFormat="1" applyBorder="1"/>
    <xf numFmtId="4" fontId="2" fillId="0" borderId="20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4" fontId="2" fillId="0" borderId="22" xfId="0" applyNumberFormat="1" applyFont="1" applyFill="1" applyBorder="1" applyAlignment="1">
      <alignment horizontal="center"/>
    </xf>
    <xf numFmtId="4" fontId="0" fillId="0" borderId="35" xfId="0" applyNumberFormat="1" applyFill="1" applyBorder="1" applyAlignment="1">
      <alignment horizontal="center"/>
    </xf>
    <xf numFmtId="4" fontId="0" fillId="0" borderId="24" xfId="0" applyNumberFormat="1" applyFill="1" applyBorder="1" applyAlignment="1">
      <alignment horizontal="center"/>
    </xf>
    <xf numFmtId="4" fontId="0" fillId="0" borderId="25" xfId="0" applyNumberFormat="1" applyFill="1" applyBorder="1" applyAlignment="1">
      <alignment horizontal="center"/>
    </xf>
    <xf numFmtId="4" fontId="0" fillId="0" borderId="36" xfId="0" applyNumberFormat="1" applyFill="1" applyBorder="1" applyAlignment="1">
      <alignment horizontal="center"/>
    </xf>
    <xf numFmtId="4" fontId="0" fillId="0" borderId="27" xfId="0" applyNumberFormat="1" applyFill="1" applyBorder="1" applyAlignment="1">
      <alignment horizontal="center"/>
    </xf>
    <xf numFmtId="4" fontId="0" fillId="0" borderId="28" xfId="0" applyNumberFormat="1" applyFill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37" xfId="0" applyNumberFormat="1" applyFill="1" applyBorder="1" applyAlignment="1">
      <alignment horizontal="center"/>
    </xf>
    <xf numFmtId="4" fontId="0" fillId="0" borderId="30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0" fillId="5" borderId="33" xfId="0" applyNumberForma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" fontId="0" fillId="2" borderId="28" xfId="0" applyNumberFormat="1" applyFill="1" applyBorder="1"/>
    <xf numFmtId="4" fontId="0" fillId="0" borderId="31" xfId="0" applyNumberFormat="1" applyFill="1" applyBorder="1"/>
    <xf numFmtId="4" fontId="0" fillId="0" borderId="40" xfId="0" applyNumberFormat="1" applyFill="1" applyBorder="1"/>
    <xf numFmtId="4" fontId="0" fillId="0" borderId="41" xfId="0" applyNumberFormat="1" applyFill="1" applyBorder="1"/>
    <xf numFmtId="0" fontId="4" fillId="0" borderId="3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4" fontId="0" fillId="0" borderId="43" xfId="0" applyNumberFormat="1" applyFill="1" applyBorder="1"/>
    <xf numFmtId="4" fontId="0" fillId="2" borderId="36" xfId="0" applyNumberFormat="1" applyFill="1" applyBorder="1"/>
    <xf numFmtId="4" fontId="0" fillId="0" borderId="36" xfId="0" applyNumberFormat="1" applyBorder="1"/>
    <xf numFmtId="4" fontId="0" fillId="0" borderId="37" xfId="0" applyNumberFormat="1" applyBorder="1"/>
    <xf numFmtId="17" fontId="0" fillId="0" borderId="44" xfId="0" applyNumberFormat="1" applyBorder="1"/>
    <xf numFmtId="4" fontId="0" fillId="5" borderId="42" xfId="0" applyNumberFormat="1" applyFill="1" applyBorder="1"/>
    <xf numFmtId="0" fontId="4" fillId="0" borderId="3" xfId="0" applyFont="1" applyBorder="1"/>
    <xf numFmtId="4" fontId="4" fillId="0" borderId="27" xfId="0" applyNumberFormat="1" applyFont="1" applyFill="1" applyBorder="1"/>
    <xf numFmtId="4" fontId="4" fillId="0" borderId="28" xfId="0" applyNumberFormat="1" applyFont="1" applyFill="1" applyBorder="1"/>
    <xf numFmtId="0" fontId="4" fillId="0" borderId="46" xfId="0" applyFont="1" applyBorder="1"/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" fontId="0" fillId="0" borderId="23" xfId="0" applyNumberFormat="1" applyFill="1" applyBorder="1" applyAlignment="1">
      <alignment vertical="center"/>
    </xf>
    <xf numFmtId="4" fontId="0" fillId="0" borderId="24" xfId="0" applyNumberFormat="1" applyFill="1" applyBorder="1" applyAlignment="1">
      <alignment vertical="center"/>
    </xf>
    <xf numFmtId="4" fontId="0" fillId="0" borderId="25" xfId="0" applyNumberFormat="1" applyFill="1" applyBorder="1" applyAlignment="1">
      <alignment vertical="center"/>
    </xf>
    <xf numFmtId="4" fontId="0" fillId="0" borderId="26" xfId="0" applyNumberFormat="1" applyFill="1" applyBorder="1" applyAlignment="1">
      <alignment vertical="center"/>
    </xf>
    <xf numFmtId="4" fontId="0" fillId="0" borderId="27" xfId="0" applyNumberFormat="1" applyFill="1" applyBorder="1" applyAlignment="1">
      <alignment vertical="center"/>
    </xf>
    <xf numFmtId="4" fontId="0" fillId="0" borderId="28" xfId="0" applyNumberFormat="1" applyFill="1" applyBorder="1" applyAlignment="1">
      <alignment vertical="center"/>
    </xf>
    <xf numFmtId="4" fontId="4" fillId="0" borderId="27" xfId="0" applyNumberFormat="1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vertical="center"/>
    </xf>
    <xf numFmtId="4" fontId="0" fillId="0" borderId="29" xfId="0" applyNumberFormat="1" applyFill="1" applyBorder="1" applyAlignment="1">
      <alignment vertical="center"/>
    </xf>
    <xf numFmtId="4" fontId="0" fillId="0" borderId="30" xfId="0" applyNumberFormat="1" applyFill="1" applyBorder="1" applyAlignment="1">
      <alignment vertical="center"/>
    </xf>
    <xf numFmtId="4" fontId="0" fillId="0" borderId="31" xfId="0" applyNumberFormat="1" applyFill="1" applyBorder="1" applyAlignment="1">
      <alignment vertical="center"/>
    </xf>
    <xf numFmtId="4" fontId="0" fillId="5" borderId="47" xfId="0" applyNumberFormat="1" applyFill="1" applyBorder="1" applyAlignment="1">
      <alignment vertical="center"/>
    </xf>
    <xf numFmtId="4" fontId="0" fillId="5" borderId="45" xfId="0" applyNumberFormat="1" applyFill="1" applyBorder="1" applyAlignment="1">
      <alignment vertical="center"/>
    </xf>
    <xf numFmtId="4" fontId="0" fillId="5" borderId="46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0" fillId="0" borderId="49" xfId="0" applyFill="1" applyBorder="1" applyAlignment="1">
      <alignment horizontal="center" vertical="center"/>
    </xf>
    <xf numFmtId="0" fontId="2" fillId="0" borderId="13" xfId="0" applyFont="1" applyBorder="1"/>
    <xf numFmtId="0" fontId="4" fillId="0" borderId="3" xfId="0" applyFont="1" applyBorder="1" applyAlignment="1">
      <alignment horizontal="right"/>
    </xf>
    <xf numFmtId="4" fontId="96" fillId="0" borderId="27" xfId="0" applyNumberFormat="1" applyFont="1" applyFill="1" applyBorder="1"/>
    <xf numFmtId="4" fontId="2" fillId="0" borderId="34" xfId="0" applyNumberFormat="1" applyFont="1" applyFill="1" applyBorder="1"/>
    <xf numFmtId="4" fontId="2" fillId="0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R62"/>
  <sheetViews>
    <sheetView topLeftCell="BX1" zoomScale="85" zoomScaleNormal="85" workbookViewId="0">
      <selection activeCell="CF4" sqref="CF4:CF36"/>
    </sheetView>
  </sheetViews>
  <sheetFormatPr baseColWidth="10" defaultRowHeight="12.75"/>
  <cols>
    <col min="1" max="1" width="15.5703125" customWidth="1"/>
    <col min="2" max="2" width="11.7109375" hidden="1" customWidth="1"/>
    <col min="3" max="3" width="13.42578125" hidden="1" customWidth="1"/>
    <col min="4" max="4" width="19.7109375" hidden="1" customWidth="1"/>
    <col min="5" max="5" width="25.42578125" hidden="1" customWidth="1"/>
    <col min="6" max="6" width="19.7109375" hidden="1" customWidth="1"/>
    <col min="7" max="7" width="17.42578125" hidden="1" customWidth="1"/>
    <col min="8" max="8" width="20.85546875" hidden="1" customWidth="1"/>
    <col min="9" max="9" width="16.5703125" hidden="1" customWidth="1"/>
    <col min="10" max="10" width="12.42578125" hidden="1" customWidth="1"/>
    <col min="11" max="11" width="13.140625" hidden="1" customWidth="1"/>
    <col min="12" max="14" width="11.7109375" hidden="1" customWidth="1"/>
    <col min="15" max="15" width="17.28515625" hidden="1" customWidth="1"/>
    <col min="16" max="27" width="11.7109375" hidden="1" customWidth="1"/>
    <col min="28" max="86" width="11.7109375" customWidth="1"/>
    <col min="87" max="88" width="11.7109375" bestFit="1" customWidth="1"/>
    <col min="90" max="90" width="11.7109375" bestFit="1" customWidth="1"/>
    <col min="94" max="94" width="11.7109375" bestFit="1" customWidth="1"/>
  </cols>
  <sheetData>
    <row r="1" spans="1:115">
      <c r="A1" s="1" t="s">
        <v>0</v>
      </c>
      <c r="C1" s="1" t="s">
        <v>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P1" s="2"/>
      <c r="CQ1" s="2"/>
    </row>
    <row r="2" spans="1:115">
      <c r="A2" s="1" t="s">
        <v>1</v>
      </c>
      <c r="B2" s="1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>
        <f>75000+34600</f>
        <v>109600</v>
      </c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>
        <v>47700</v>
      </c>
      <c r="BX2" s="1">
        <f>8750+4800+900+1900</f>
        <v>16350</v>
      </c>
      <c r="BY2" s="1">
        <f>26000+6930</f>
        <v>32930</v>
      </c>
      <c r="BZ2" s="1"/>
      <c r="CA2" s="1"/>
      <c r="CB2" s="1"/>
      <c r="CC2" s="1"/>
      <c r="CD2" s="1"/>
      <c r="CE2" s="1"/>
      <c r="CF2" s="1"/>
      <c r="CG2" s="1"/>
      <c r="CH2" s="1"/>
      <c r="CP2" s="2"/>
      <c r="CQ2" s="2"/>
    </row>
    <row r="3" spans="1:115">
      <c r="B3" s="86" t="s">
        <v>62</v>
      </c>
      <c r="C3" s="86"/>
      <c r="D3" s="86"/>
      <c r="E3" s="86"/>
      <c r="F3" s="86"/>
      <c r="G3" s="86"/>
      <c r="H3" s="86"/>
      <c r="I3" s="86"/>
      <c r="J3" s="86"/>
      <c r="K3" s="7">
        <f>22376.53+7812.69</f>
        <v>30189.219999999998</v>
      </c>
      <c r="L3" s="10" t="s">
        <v>95</v>
      </c>
      <c r="M3" s="10" t="s">
        <v>63</v>
      </c>
      <c r="N3" s="10" t="s">
        <v>51</v>
      </c>
      <c r="O3" s="10" t="s">
        <v>64</v>
      </c>
      <c r="P3" s="10" t="s">
        <v>53</v>
      </c>
      <c r="Q3" s="10" t="s">
        <v>65</v>
      </c>
      <c r="R3" s="10" t="s">
        <v>66</v>
      </c>
      <c r="S3" s="10" t="s">
        <v>67</v>
      </c>
      <c r="T3" s="10" t="s">
        <v>56</v>
      </c>
      <c r="U3" s="10" t="s">
        <v>68</v>
      </c>
      <c r="V3" s="10" t="s">
        <v>69</v>
      </c>
      <c r="W3" s="10" t="s">
        <v>72</v>
      </c>
      <c r="X3" s="10" t="s">
        <v>70</v>
      </c>
      <c r="Y3" s="10" t="s">
        <v>71</v>
      </c>
      <c r="Z3" s="10" t="s">
        <v>73</v>
      </c>
      <c r="AA3" s="10" t="s">
        <v>74</v>
      </c>
      <c r="AB3" s="10" t="s">
        <v>75</v>
      </c>
      <c r="AC3" s="10" t="s">
        <v>78</v>
      </c>
      <c r="AD3" s="10"/>
      <c r="AE3" s="10" t="s">
        <v>77</v>
      </c>
      <c r="AF3" s="10" t="s">
        <v>59</v>
      </c>
      <c r="AG3" s="10" t="s">
        <v>79</v>
      </c>
      <c r="AH3" s="10" t="s">
        <v>82</v>
      </c>
      <c r="AI3" s="10" t="s">
        <v>80</v>
      </c>
      <c r="AJ3" s="10" t="s">
        <v>46</v>
      </c>
      <c r="AK3" s="10" t="s">
        <v>76</v>
      </c>
      <c r="AL3" s="10" t="s">
        <v>81</v>
      </c>
      <c r="AM3" s="10" t="s">
        <v>45</v>
      </c>
      <c r="AN3" s="10"/>
      <c r="AO3" s="10" t="s">
        <v>44</v>
      </c>
      <c r="AP3" s="10" t="s">
        <v>83</v>
      </c>
      <c r="AQ3" s="10" t="s">
        <v>84</v>
      </c>
      <c r="AR3" s="10"/>
      <c r="AS3" s="10" t="s">
        <v>85</v>
      </c>
      <c r="AT3" s="10" t="s">
        <v>86</v>
      </c>
      <c r="AU3" s="10" t="s">
        <v>88</v>
      </c>
      <c r="AV3" s="10" t="s">
        <v>87</v>
      </c>
      <c r="AW3" s="10" t="s">
        <v>169</v>
      </c>
      <c r="AX3" s="10" t="s">
        <v>255</v>
      </c>
      <c r="AY3" s="10" t="s">
        <v>202</v>
      </c>
      <c r="AZ3" s="10" t="s">
        <v>256</v>
      </c>
      <c r="BA3" s="10" t="s">
        <v>264</v>
      </c>
      <c r="BB3" s="10" t="s">
        <v>257</v>
      </c>
      <c r="BC3" s="10" t="s">
        <v>271</v>
      </c>
      <c r="BD3" s="10" t="s">
        <v>257</v>
      </c>
      <c r="BE3" s="10" t="s">
        <v>257</v>
      </c>
      <c r="BF3" s="10" t="s">
        <v>258</v>
      </c>
      <c r="BG3" s="82" t="s">
        <v>270</v>
      </c>
      <c r="BH3" s="10" t="s">
        <v>259</v>
      </c>
      <c r="BI3" s="10" t="s">
        <v>265</v>
      </c>
      <c r="BJ3" s="10" t="s">
        <v>260</v>
      </c>
      <c r="BK3" s="10" t="s">
        <v>261</v>
      </c>
      <c r="BL3" s="10" t="s">
        <v>262</v>
      </c>
      <c r="BM3" s="82" t="s">
        <v>94</v>
      </c>
      <c r="BN3" s="10" t="s">
        <v>261</v>
      </c>
      <c r="BO3" s="10" t="s">
        <v>269</v>
      </c>
      <c r="BP3" s="82" t="s">
        <v>94</v>
      </c>
      <c r="BQ3" s="10" t="s">
        <v>266</v>
      </c>
      <c r="BR3" s="10" t="s">
        <v>263</v>
      </c>
      <c r="BS3" s="10" t="s">
        <v>267</v>
      </c>
      <c r="BT3" s="10" t="s">
        <v>249</v>
      </c>
      <c r="BU3" s="10" t="s">
        <v>257</v>
      </c>
      <c r="BV3" s="10" t="s">
        <v>268</v>
      </c>
      <c r="BW3" s="10" t="s">
        <v>257</v>
      </c>
      <c r="BX3" s="10"/>
      <c r="BY3" s="10"/>
      <c r="BZ3" s="10"/>
      <c r="CA3" s="10"/>
      <c r="CB3" s="10"/>
      <c r="CC3" s="10"/>
      <c r="CD3" s="10"/>
      <c r="CE3" s="10">
        <v>3570</v>
      </c>
      <c r="CF3" s="10"/>
      <c r="CG3" s="10"/>
      <c r="CH3" s="10"/>
      <c r="CI3" s="10" t="s">
        <v>17</v>
      </c>
      <c r="CJ3" s="10"/>
      <c r="CK3" s="10"/>
      <c r="CL3" s="7"/>
      <c r="CP3" s="2"/>
      <c r="CQ3" s="2"/>
    </row>
    <row r="4" spans="1:115">
      <c r="A4" s="1" t="s">
        <v>5</v>
      </c>
      <c r="B4" s="15" t="s">
        <v>6</v>
      </c>
      <c r="C4" s="3" t="s">
        <v>7</v>
      </c>
      <c r="D4" s="15" t="s">
        <v>8</v>
      </c>
      <c r="E4" s="3" t="s">
        <v>9</v>
      </c>
      <c r="F4" s="3" t="s">
        <v>10</v>
      </c>
      <c r="G4" s="3" t="s">
        <v>11</v>
      </c>
      <c r="H4" s="15" t="s">
        <v>34</v>
      </c>
      <c r="I4" s="3" t="s">
        <v>12</v>
      </c>
      <c r="J4" s="3" t="s">
        <v>16</v>
      </c>
      <c r="K4" s="3" t="s">
        <v>278</v>
      </c>
      <c r="L4" s="3" t="s">
        <v>18</v>
      </c>
      <c r="M4" s="84" t="s">
        <v>13</v>
      </c>
      <c r="N4" s="85" t="s">
        <v>19</v>
      </c>
      <c r="O4" s="15" t="s">
        <v>50</v>
      </c>
      <c r="P4" s="85" t="s">
        <v>52</v>
      </c>
      <c r="Q4" s="85" t="s">
        <v>20</v>
      </c>
      <c r="R4" s="15" t="s">
        <v>21</v>
      </c>
      <c r="S4" s="85" t="s">
        <v>54</v>
      </c>
      <c r="T4" s="85" t="s">
        <v>55</v>
      </c>
      <c r="U4" s="15" t="s">
        <v>22</v>
      </c>
      <c r="V4" s="85" t="s">
        <v>23</v>
      </c>
      <c r="W4" s="85" t="s">
        <v>57</v>
      </c>
      <c r="X4" s="15" t="s">
        <v>24</v>
      </c>
      <c r="Y4" s="85" t="s">
        <v>25</v>
      </c>
      <c r="Z4" s="15" t="s">
        <v>26</v>
      </c>
      <c r="AA4" s="15" t="s">
        <v>27</v>
      </c>
      <c r="AB4" s="85" t="s">
        <v>58</v>
      </c>
      <c r="AC4" s="84" t="s">
        <v>28</v>
      </c>
      <c r="AD4" s="15" t="s">
        <v>29</v>
      </c>
      <c r="AE4" s="15" t="s">
        <v>30</v>
      </c>
      <c r="AF4" s="85" t="s">
        <v>31</v>
      </c>
      <c r="AG4" s="15" t="s">
        <v>32</v>
      </c>
      <c r="AH4" s="15" t="s">
        <v>33</v>
      </c>
      <c r="AI4" s="85" t="s">
        <v>61</v>
      </c>
      <c r="AJ4" s="84" t="s">
        <v>35</v>
      </c>
      <c r="AK4" s="85" t="s">
        <v>36</v>
      </c>
      <c r="AL4" s="15" t="s">
        <v>37</v>
      </c>
      <c r="AM4" s="84" t="s">
        <v>38</v>
      </c>
      <c r="AN4" s="15" t="s">
        <v>39</v>
      </c>
      <c r="AO4" s="84" t="s">
        <v>40</v>
      </c>
      <c r="AP4" s="85" t="s">
        <v>41</v>
      </c>
      <c r="AQ4" s="85" t="s">
        <v>42</v>
      </c>
      <c r="AR4" s="85" t="s">
        <v>43</v>
      </c>
      <c r="AS4" s="85" t="s">
        <v>47</v>
      </c>
      <c r="AT4" s="84" t="s">
        <v>48</v>
      </c>
      <c r="AU4" s="15" t="s">
        <v>49</v>
      </c>
      <c r="AV4" s="85" t="s">
        <v>60</v>
      </c>
      <c r="AW4" s="84" t="s">
        <v>168</v>
      </c>
      <c r="AX4" s="15" t="s">
        <v>200</v>
      </c>
      <c r="AY4" s="15" t="s">
        <v>201</v>
      </c>
      <c r="AZ4" s="85" t="s">
        <v>217</v>
      </c>
      <c r="BA4" s="15" t="s">
        <v>218</v>
      </c>
      <c r="BB4" s="15" t="s">
        <v>219</v>
      </c>
      <c r="BC4" s="85" t="s">
        <v>220</v>
      </c>
      <c r="BD4" s="15" t="s">
        <v>234</v>
      </c>
      <c r="BE4" s="15" t="s">
        <v>235</v>
      </c>
      <c r="BF4" s="85" t="s">
        <v>236</v>
      </c>
      <c r="BG4" s="15" t="s">
        <v>237</v>
      </c>
      <c r="BH4" s="85" t="s">
        <v>238</v>
      </c>
      <c r="BI4" s="85" t="s">
        <v>239</v>
      </c>
      <c r="BJ4" s="85" t="s">
        <v>240</v>
      </c>
      <c r="BK4" s="85" t="s">
        <v>241</v>
      </c>
      <c r="BL4" s="85" t="s">
        <v>242</v>
      </c>
      <c r="BM4" s="85" t="s">
        <v>243</v>
      </c>
      <c r="BN4" s="85" t="s">
        <v>244</v>
      </c>
      <c r="BO4" s="84" t="s">
        <v>245</v>
      </c>
      <c r="BP4" s="85" t="s">
        <v>246</v>
      </c>
      <c r="BQ4" s="15" t="s">
        <v>247</v>
      </c>
      <c r="BR4" s="84" t="s">
        <v>251</v>
      </c>
      <c r="BS4" s="15" t="s">
        <v>248</v>
      </c>
      <c r="BT4" s="85" t="s">
        <v>127</v>
      </c>
      <c r="BU4" s="15" t="s">
        <v>252</v>
      </c>
      <c r="BV4" s="85" t="s">
        <v>253</v>
      </c>
      <c r="BW4" s="15" t="s">
        <v>254</v>
      </c>
      <c r="BX4" s="15" t="s">
        <v>137</v>
      </c>
      <c r="BY4" s="15" t="s">
        <v>275</v>
      </c>
      <c r="BZ4" s="15" t="s">
        <v>276</v>
      </c>
      <c r="CA4" s="84" t="s">
        <v>277</v>
      </c>
      <c r="CB4" s="15" t="s">
        <v>280</v>
      </c>
      <c r="CC4" s="15" t="s">
        <v>279</v>
      </c>
      <c r="CD4" s="15" t="s">
        <v>281</v>
      </c>
      <c r="CE4" s="15" t="s">
        <v>282</v>
      </c>
      <c r="CF4" s="15" t="s">
        <v>283</v>
      </c>
      <c r="CG4" s="15" t="s">
        <v>14</v>
      </c>
      <c r="CH4" s="15" t="s">
        <v>15</v>
      </c>
      <c r="CI4" s="3"/>
      <c r="CJ4" s="3" t="s">
        <v>2</v>
      </c>
      <c r="CK4" s="3"/>
      <c r="CP4" s="2"/>
      <c r="CQ4" s="2"/>
    </row>
    <row r="5" spans="1:1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7"/>
      <c r="CH5" s="7"/>
      <c r="CJ5" s="7">
        <f>SUM(B5:CI5)</f>
        <v>0</v>
      </c>
      <c r="CK5" s="3" t="s">
        <v>3</v>
      </c>
      <c r="CL5" s="4">
        <v>0.19600000000000001</v>
      </c>
      <c r="CP5" s="2"/>
      <c r="CQ5" s="2"/>
    </row>
    <row r="6" spans="1:115">
      <c r="A6" s="1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13"/>
      <c r="CL6" s="9"/>
      <c r="CM6" s="9"/>
      <c r="CN6" s="11"/>
      <c r="CO6" s="12"/>
      <c r="CP6" s="6"/>
      <c r="CQ6" s="7"/>
    </row>
    <row r="7" spans="1:115">
      <c r="A7" s="5">
        <v>39814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2"/>
      <c r="CJ7" s="6">
        <f>SUM(B7:CI7)</f>
        <v>0</v>
      </c>
      <c r="CK7" s="14"/>
      <c r="CL7" s="6"/>
      <c r="CM7" s="6"/>
      <c r="CN7" s="9"/>
      <c r="CO7" s="6"/>
      <c r="CP7" s="9"/>
      <c r="CQ7" s="9"/>
      <c r="CR7" s="9"/>
      <c r="CS7" s="9"/>
      <c r="CT7" s="9"/>
      <c r="CU7" s="9"/>
    </row>
    <row r="8" spans="1:115">
      <c r="A8" s="5">
        <v>39845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2"/>
      <c r="CJ8" s="6">
        <f t="shared" ref="CJ8:CJ17" si="0">SUM(B8:CI8)</f>
        <v>0</v>
      </c>
      <c r="CK8" s="14"/>
      <c r="CL8" s="9"/>
      <c r="CM8" s="9"/>
      <c r="CN8" s="9"/>
      <c r="CO8" s="6"/>
      <c r="CP8" s="9"/>
      <c r="CQ8" s="9"/>
      <c r="CR8" s="9"/>
      <c r="CS8" s="9"/>
      <c r="CT8" s="9"/>
      <c r="CU8" s="9"/>
    </row>
    <row r="9" spans="1:115">
      <c r="A9" s="5">
        <v>39873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2"/>
      <c r="CJ9" s="6">
        <f t="shared" si="0"/>
        <v>0</v>
      </c>
      <c r="CK9" s="14"/>
      <c r="CL9" s="9"/>
      <c r="CM9" s="9"/>
      <c r="CN9" s="8"/>
      <c r="CO9" s="6"/>
      <c r="CP9" s="9"/>
      <c r="CQ9" s="9"/>
      <c r="CR9" s="9"/>
      <c r="CS9" s="9"/>
      <c r="CT9" s="9"/>
      <c r="CU9" s="9"/>
    </row>
    <row r="10" spans="1:115">
      <c r="A10" s="5">
        <v>39904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2"/>
      <c r="CJ10" s="6">
        <f t="shared" si="0"/>
        <v>0</v>
      </c>
      <c r="CK10" s="14"/>
      <c r="CL10" s="6"/>
      <c r="CM10" s="6"/>
      <c r="CN10" s="9"/>
      <c r="CO10" s="9"/>
      <c r="CP10" s="6"/>
      <c r="CQ10" s="6"/>
      <c r="CR10" s="9"/>
      <c r="CS10" s="9"/>
      <c r="CT10" s="9"/>
      <c r="CU10" s="9"/>
    </row>
    <row r="11" spans="1:115">
      <c r="A11" s="5">
        <v>39934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2"/>
      <c r="CJ11" s="6">
        <f t="shared" si="0"/>
        <v>0</v>
      </c>
      <c r="CK11" s="14"/>
      <c r="CL11" s="6"/>
      <c r="CM11" s="6"/>
      <c r="CN11" s="9"/>
      <c r="CO11" s="18"/>
      <c r="CP11" s="6"/>
      <c r="CQ11" s="6"/>
      <c r="CR11" s="6"/>
      <c r="CS11" s="9"/>
      <c r="CT11" s="9"/>
      <c r="CU11" s="9"/>
    </row>
    <row r="12" spans="1:115">
      <c r="A12" s="5">
        <v>39965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2"/>
      <c r="CJ12" s="6">
        <f t="shared" si="0"/>
        <v>0</v>
      </c>
      <c r="CK12" s="14"/>
      <c r="CL12" s="9"/>
      <c r="CM12" s="9"/>
      <c r="CN12" s="9"/>
      <c r="CO12" s="18"/>
      <c r="CP12" s="6"/>
      <c r="CQ12" s="6"/>
      <c r="CR12" s="6"/>
      <c r="CS12" s="9"/>
      <c r="CT12" s="9"/>
      <c r="CU12" s="9"/>
    </row>
    <row r="13" spans="1:115">
      <c r="A13" s="5">
        <v>39995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2"/>
      <c r="CJ13" s="6">
        <f t="shared" si="0"/>
        <v>0</v>
      </c>
      <c r="CK13" s="14"/>
      <c r="CL13" s="9"/>
      <c r="CM13" s="9"/>
      <c r="CN13" s="8"/>
      <c r="CO13" s="18"/>
      <c r="CP13" s="6"/>
      <c r="CQ13" s="9"/>
      <c r="CR13" s="6"/>
      <c r="CS13" s="9"/>
      <c r="CT13" s="9"/>
      <c r="CU13" s="9"/>
    </row>
    <row r="14" spans="1:115">
      <c r="A14" s="5">
        <v>40026</v>
      </c>
      <c r="B14" s="19">
        <f>3212+6593+2082</f>
        <v>11887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2"/>
      <c r="CJ14" s="6">
        <f t="shared" si="0"/>
        <v>11887</v>
      </c>
      <c r="CK14" s="14"/>
      <c r="CL14" s="6"/>
      <c r="CM14" s="6"/>
      <c r="CN14" s="9"/>
      <c r="CO14" s="18"/>
      <c r="CP14" s="6"/>
      <c r="CQ14" s="9"/>
      <c r="CR14" s="6"/>
      <c r="CS14" s="9"/>
      <c r="CT14" s="9"/>
      <c r="CU14" s="9"/>
    </row>
    <row r="15" spans="1:115">
      <c r="A15" s="5">
        <v>40057</v>
      </c>
      <c r="B15" s="19">
        <f>6424+7113.5+7287</f>
        <v>20824.5</v>
      </c>
      <c r="C15" s="19">
        <v>9680</v>
      </c>
      <c r="D15" s="19">
        <v>11500</v>
      </c>
      <c r="E15" s="19">
        <v>13097.91</v>
      </c>
      <c r="F15" s="19">
        <v>12066.34</v>
      </c>
      <c r="G15" s="19">
        <v>9660</v>
      </c>
      <c r="H15" s="6"/>
      <c r="I15" s="19">
        <f>10080+11520</f>
        <v>21600</v>
      </c>
      <c r="J15" s="6"/>
      <c r="K15" s="6"/>
      <c r="L15" s="6"/>
      <c r="M15" s="19">
        <v>6087.25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2">
        <v>84925.75</v>
      </c>
      <c r="CJ15" s="6">
        <f t="shared" si="0"/>
        <v>189441.75</v>
      </c>
      <c r="CK15" s="8">
        <v>40099</v>
      </c>
      <c r="CL15" s="6">
        <f>G15*$CL$5</f>
        <v>1893.3600000000001</v>
      </c>
      <c r="CM15" s="19">
        <f>+G15+CL15</f>
        <v>11553.36</v>
      </c>
      <c r="CN15" s="8"/>
      <c r="CO15" s="6">
        <f>M15*5.5%</f>
        <v>334.79874999999998</v>
      </c>
      <c r="CP15" s="19">
        <f>M15+CO15</f>
        <v>6422.0487499999999</v>
      </c>
      <c r="CQ15" s="8">
        <v>40127</v>
      </c>
      <c r="CR15" s="9">
        <v>0</v>
      </c>
      <c r="CS15" s="19">
        <f>+E15+CR15</f>
        <v>13097.91</v>
      </c>
      <c r="CT15" s="8">
        <v>40127</v>
      </c>
      <c r="CU15" s="9">
        <v>0</v>
      </c>
      <c r="CV15" s="19">
        <f>+F15+CU15</f>
        <v>12066.34</v>
      </c>
      <c r="CW15" s="20">
        <v>40127</v>
      </c>
      <c r="CX15" s="2">
        <f>+I15*$CL$5</f>
        <v>4233.6000000000004</v>
      </c>
      <c r="CY15" s="19">
        <f>+I15+CX15</f>
        <v>25833.599999999999</v>
      </c>
      <c r="CZ15" s="20">
        <v>40127</v>
      </c>
      <c r="DA15" s="2">
        <f>+D15*$CL$5</f>
        <v>2254</v>
      </c>
      <c r="DB15" s="19">
        <f>+D15+DA15</f>
        <v>13754</v>
      </c>
    </row>
    <row r="16" spans="1:115">
      <c r="A16" s="5">
        <v>40087</v>
      </c>
      <c r="B16" s="19">
        <f>7634+6419.5+4964</f>
        <v>19017.5</v>
      </c>
      <c r="C16" s="19">
        <v>7480</v>
      </c>
      <c r="D16" s="19">
        <v>11500</v>
      </c>
      <c r="E16" s="19">
        <f>205.6+15166</f>
        <v>15371.6</v>
      </c>
      <c r="F16" s="19">
        <v>12066.34</v>
      </c>
      <c r="G16" s="19">
        <v>18480</v>
      </c>
      <c r="H16" s="6"/>
      <c r="I16" s="19">
        <f>12000+10560</f>
        <v>22560</v>
      </c>
      <c r="J16" s="19">
        <v>12100</v>
      </c>
      <c r="K16" s="6"/>
      <c r="L16" s="19">
        <v>2550</v>
      </c>
      <c r="M16" s="6"/>
      <c r="N16" s="19">
        <v>14336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2">
        <f>487999.59-B16-C16-D16-E16-F16-G16-I16-J16-L16-M16-N16</f>
        <v>352538.15</v>
      </c>
      <c r="CJ16" s="6">
        <f>SUM(B16:CI16)</f>
        <v>487999.59</v>
      </c>
      <c r="CK16" s="8">
        <v>40114</v>
      </c>
      <c r="CL16" s="6">
        <f>L16*$CL$5</f>
        <v>499.8</v>
      </c>
      <c r="CM16" s="19">
        <f>L16+CL16</f>
        <v>3049.8</v>
      </c>
      <c r="CN16" s="8">
        <v>40157</v>
      </c>
      <c r="CO16" s="6">
        <f>J16*$CL$5</f>
        <v>2371.6</v>
      </c>
      <c r="CP16" s="19">
        <f>+J16+CO16</f>
        <v>14471.6</v>
      </c>
      <c r="CQ16" s="8">
        <v>40157</v>
      </c>
      <c r="CR16" s="6">
        <f>+C16*$CL$5</f>
        <v>1466.0800000000002</v>
      </c>
      <c r="CS16" s="19">
        <f>+C16+CR16</f>
        <v>8946.08</v>
      </c>
      <c r="CT16" s="8">
        <v>40157</v>
      </c>
      <c r="CU16" s="6">
        <f>+G16*$CL$5</f>
        <v>3622.08</v>
      </c>
      <c r="CV16" s="19">
        <f>+G16+CU16</f>
        <v>22102.080000000002</v>
      </c>
      <c r="CW16" s="20">
        <v>40157</v>
      </c>
      <c r="CX16" s="2">
        <f>+(10560+12000)*$CL$5</f>
        <v>4421.76</v>
      </c>
      <c r="CY16" s="19">
        <f>+(10560+12000)+CX16</f>
        <v>26981.760000000002</v>
      </c>
      <c r="CZ16" s="20">
        <v>40157</v>
      </c>
      <c r="DA16" s="2">
        <f>+D16*$CL$5</f>
        <v>2254</v>
      </c>
      <c r="DB16" s="19">
        <f>+D16+DA16</f>
        <v>13754</v>
      </c>
      <c r="DC16" s="20">
        <v>40157</v>
      </c>
      <c r="DD16" s="2">
        <v>0</v>
      </c>
      <c r="DE16" s="19">
        <f>+E16</f>
        <v>15371.6</v>
      </c>
      <c r="DF16" s="20">
        <v>40157</v>
      </c>
      <c r="DG16" s="2">
        <v>0</v>
      </c>
      <c r="DH16" s="19">
        <f>+F16</f>
        <v>12066.34</v>
      </c>
      <c r="DI16" s="20">
        <v>40192</v>
      </c>
      <c r="DJ16" s="2">
        <f>N16*$CL$5</f>
        <v>2809.8560000000002</v>
      </c>
      <c r="DK16" s="19">
        <f>+N16+DJ16</f>
        <v>17145.856</v>
      </c>
    </row>
    <row r="17" spans="1:226">
      <c r="A17" s="5">
        <v>40118</v>
      </c>
      <c r="B17" s="19">
        <f>6940+3990.5</f>
        <v>10930.5</v>
      </c>
      <c r="C17" s="19">
        <v>8800</v>
      </c>
      <c r="D17" s="19">
        <v>11500</v>
      </c>
      <c r="E17" s="19">
        <v>15730.92</v>
      </c>
      <c r="F17" s="19">
        <v>10969.4</v>
      </c>
      <c r="G17" s="19">
        <v>7980</v>
      </c>
      <c r="H17" s="6"/>
      <c r="I17" s="19">
        <f>11520+7200</f>
        <v>18720</v>
      </c>
      <c r="J17" s="19">
        <v>13568.64</v>
      </c>
      <c r="K17" s="6"/>
      <c r="L17" s="6"/>
      <c r="M17" s="19">
        <v>20666.89</v>
      </c>
      <c r="N17" s="19">
        <f>14400.45+14657.37+14560</f>
        <v>43617.82</v>
      </c>
      <c r="O17" s="19">
        <f>14896+1211.24+2417.95+2500</f>
        <v>21025.19</v>
      </c>
      <c r="P17" s="19">
        <f>628.96+334.04+330+628.96</f>
        <v>1921.96</v>
      </c>
      <c r="Q17" s="19">
        <v>2497.5</v>
      </c>
      <c r="R17" s="19">
        <v>21723.18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2">
        <f>-182952-7980-11520-7200</f>
        <v>-209652</v>
      </c>
      <c r="CJ17" s="6">
        <f t="shared" si="0"/>
        <v>0</v>
      </c>
      <c r="CK17" s="8">
        <v>40099</v>
      </c>
      <c r="CL17" s="6">
        <f>+R17*$CL$5</f>
        <v>4257.7432800000006</v>
      </c>
      <c r="CM17" s="19">
        <f>+R17+CL17</f>
        <v>25980.923280000003</v>
      </c>
      <c r="CN17" s="8">
        <v>40157</v>
      </c>
      <c r="CO17" s="6">
        <f>(Q17+Q18)*$CL$5</f>
        <v>496.37</v>
      </c>
      <c r="CP17" s="19">
        <f>(Q17+Q18)+CO17</f>
        <v>3028.87</v>
      </c>
      <c r="CQ17" s="8">
        <v>40158</v>
      </c>
      <c r="CR17" s="6">
        <f>14896*$CL$5</f>
        <v>2919.616</v>
      </c>
      <c r="CS17" s="19">
        <f>14896+CR17</f>
        <v>17815.616000000002</v>
      </c>
      <c r="CT17" s="8">
        <v>40158</v>
      </c>
      <c r="CU17" s="6">
        <f>1211.24*$CL$5</f>
        <v>237.40304</v>
      </c>
      <c r="CV17" s="19">
        <f>1211.24+CU17</f>
        <v>1448.6430399999999</v>
      </c>
      <c r="CW17" s="20">
        <v>40158</v>
      </c>
      <c r="CX17" s="6">
        <f>2417.95*$CL$5</f>
        <v>473.91819999999996</v>
      </c>
      <c r="CY17" s="19">
        <f>2417.95+CX17</f>
        <v>2891.8681999999999</v>
      </c>
      <c r="CZ17" s="20">
        <v>40192</v>
      </c>
      <c r="DA17" s="2">
        <f>14400.45*$CL$5</f>
        <v>2822.4882000000002</v>
      </c>
      <c r="DB17" s="19">
        <f>14400.45+DA17</f>
        <v>17222.938200000001</v>
      </c>
      <c r="DC17" s="20">
        <v>40192</v>
      </c>
      <c r="DD17" s="2">
        <f>14657.37*$CL$5</f>
        <v>2872.8445200000001</v>
      </c>
      <c r="DE17" s="19">
        <f>14657.37+DD17</f>
        <v>17530.214520000001</v>
      </c>
      <c r="DF17" s="20">
        <v>40192</v>
      </c>
      <c r="DG17" s="2">
        <f>14560*$CL$5</f>
        <v>2853.76</v>
      </c>
      <c r="DH17" s="19">
        <f>14560+DG17</f>
        <v>17413.760000000002</v>
      </c>
      <c r="DI17" s="20">
        <v>40192</v>
      </c>
      <c r="DJ17" s="2">
        <f>+G17*$CL$5</f>
        <v>1564.0800000000002</v>
      </c>
      <c r="DK17" s="19">
        <f>+G17+DJ17</f>
        <v>9544.08</v>
      </c>
      <c r="DL17" s="20">
        <v>40192</v>
      </c>
      <c r="DM17" s="2">
        <f>11520*$CL$5</f>
        <v>2257.92</v>
      </c>
      <c r="DN17" s="19">
        <f>11520+DM17</f>
        <v>13777.92</v>
      </c>
      <c r="DO17" s="20">
        <v>40192</v>
      </c>
      <c r="DP17" s="2">
        <f>7200*$CL$5</f>
        <v>1411.2</v>
      </c>
      <c r="DQ17" s="19">
        <f>7200+DP17</f>
        <v>8611.2000000000007</v>
      </c>
      <c r="DR17" s="20">
        <v>40213</v>
      </c>
      <c r="DS17" s="2">
        <f>P17*$CL$5</f>
        <v>376.70416</v>
      </c>
      <c r="DT17" s="19">
        <f>P17+DS17</f>
        <v>2298.6641600000003</v>
      </c>
      <c r="DU17" s="20">
        <v>40213</v>
      </c>
      <c r="DV17" s="2">
        <f>2500*$CL$5</f>
        <v>490</v>
      </c>
      <c r="DW17" s="19">
        <f>2500+DV17</f>
        <v>2990</v>
      </c>
      <c r="DX17" s="20">
        <v>40213</v>
      </c>
      <c r="DY17" s="2">
        <v>0</v>
      </c>
      <c r="DZ17" s="19">
        <f>E17+DY17</f>
        <v>15730.92</v>
      </c>
      <c r="EA17" s="20">
        <v>40213</v>
      </c>
      <c r="EB17" s="2">
        <f>0</f>
        <v>0</v>
      </c>
      <c r="EC17" s="19">
        <f>+F18</f>
        <v>12066.34</v>
      </c>
      <c r="ED17" s="20">
        <v>40213</v>
      </c>
      <c r="EE17" s="2">
        <f>C17*$CL$5</f>
        <v>1724.8</v>
      </c>
      <c r="EF17" s="19">
        <f>C17+EE17</f>
        <v>10524.8</v>
      </c>
      <c r="EG17" s="20">
        <v>40213</v>
      </c>
      <c r="EH17" s="2">
        <f>+D17*$CL$5</f>
        <v>2254</v>
      </c>
      <c r="EI17" s="19">
        <f>+D17+EH17</f>
        <v>13754</v>
      </c>
      <c r="EJ17" s="20">
        <v>40214</v>
      </c>
      <c r="EK17" s="2">
        <f>+J17*$CL$5</f>
        <v>2659.4534399999998</v>
      </c>
      <c r="EL17" s="19">
        <f>+J17+EK17</f>
        <v>16228.093439999999</v>
      </c>
    </row>
    <row r="18" spans="1:226">
      <c r="A18" s="5">
        <v>40148</v>
      </c>
      <c r="B18" s="19">
        <f>6246+3817</f>
        <v>10063</v>
      </c>
      <c r="C18" s="19">
        <v>7920</v>
      </c>
      <c r="D18" s="19">
        <v>11500</v>
      </c>
      <c r="E18" s="19">
        <v>13303.51</v>
      </c>
      <c r="F18" s="19">
        <v>12066.34</v>
      </c>
      <c r="G18" s="19">
        <v>2400</v>
      </c>
      <c r="H18" s="19">
        <v>7600</v>
      </c>
      <c r="I18" s="19">
        <f>7920+10560</f>
        <v>18480</v>
      </c>
      <c r="J18" s="19">
        <v>14498.08</v>
      </c>
      <c r="K18" s="6"/>
      <c r="L18" s="19">
        <f>1450+3350</f>
        <v>4800</v>
      </c>
      <c r="M18" s="2"/>
      <c r="N18" s="19">
        <f>14976+15040+15040+15040+14737.02+14720+15364.32+15360.48+15360+6860+15691.27+15003.5+14720.46+16020.5</f>
        <v>203933.55</v>
      </c>
      <c r="O18" s="19">
        <v>2500</v>
      </c>
      <c r="P18" s="19">
        <v>330</v>
      </c>
      <c r="Q18" s="19">
        <v>35</v>
      </c>
      <c r="R18" s="2"/>
      <c r="S18" s="19">
        <f>301.95+161.7</f>
        <v>463.65</v>
      </c>
      <c r="T18" s="19">
        <f>798.83+877.07+202.1+590.48</f>
        <v>2468.48</v>
      </c>
      <c r="U18" s="19">
        <f>1727.06+863.53+863.53</f>
        <v>3454.12</v>
      </c>
      <c r="V18" s="19">
        <v>1196.6400000000001</v>
      </c>
      <c r="W18" s="19">
        <f>1725+3340.75+1194.25</f>
        <v>6260</v>
      </c>
      <c r="X18" s="19">
        <v>443.5</v>
      </c>
      <c r="Y18" s="19">
        <v>2304.4</v>
      </c>
      <c r="Z18" s="19">
        <v>1380</v>
      </c>
      <c r="AA18" s="19">
        <v>959</v>
      </c>
      <c r="AB18" s="19">
        <v>3850.82</v>
      </c>
      <c r="AC18" s="19">
        <f>147644.32+87404.6</f>
        <v>235048.92</v>
      </c>
      <c r="AD18" s="19">
        <v>16000</v>
      </c>
      <c r="AE18" s="19">
        <v>36400</v>
      </c>
      <c r="AF18" s="19">
        <v>11118.8</v>
      </c>
      <c r="AG18" s="19">
        <f>765+765+765</f>
        <v>2295</v>
      </c>
      <c r="AH18" s="19">
        <v>4800</v>
      </c>
      <c r="AI18" s="19">
        <v>200</v>
      </c>
      <c r="AJ18" s="19">
        <f>704.85+4760</f>
        <v>5464.85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19">
        <v>19149.95</v>
      </c>
      <c r="CI18" s="2">
        <f>531172-B18-C18-D18-E18-F18-G18-H18-I18-J18-L18-N18-O18-P18-Q18-S18-T18-U18-V18-W18-X18-Y18-Z18-AA18-AB18-AC18-AD18-AE18-AF18-CH18-AG18-AH18-AI18-AJ18</f>
        <v>-131515.61000000007</v>
      </c>
      <c r="CJ18" s="6">
        <f t="shared" ref="CJ18:CJ24" si="1">SUM(B18:CI18)</f>
        <v>531171.99999999988</v>
      </c>
      <c r="CK18" s="8">
        <v>40165</v>
      </c>
      <c r="CL18" s="6">
        <f>CH18*$CL$5</f>
        <v>3753.3902000000003</v>
      </c>
      <c r="CM18" s="19">
        <f>CH18+CL18</f>
        <v>22903.340200000002</v>
      </c>
      <c r="CN18" s="8">
        <v>40192</v>
      </c>
      <c r="CO18" s="2">
        <f>+G18*$CL$5</f>
        <v>470.40000000000003</v>
      </c>
      <c r="CP18" s="19">
        <f>+G18+CO18</f>
        <v>2870.4</v>
      </c>
      <c r="CQ18" s="8">
        <v>40213</v>
      </c>
      <c r="CR18" s="2">
        <f>1450*$CL$5</f>
        <v>284.2</v>
      </c>
      <c r="CS18" s="19">
        <f>1450+CR18</f>
        <v>1734.2</v>
      </c>
      <c r="CT18" s="8">
        <v>40214</v>
      </c>
      <c r="CU18" s="2">
        <f>301.95*$CL$5</f>
        <v>59.182200000000002</v>
      </c>
      <c r="CV18" s="19">
        <f>301.95+CU18</f>
        <v>361.13220000000001</v>
      </c>
      <c r="CW18" s="20">
        <v>40219</v>
      </c>
      <c r="CX18" s="2">
        <f>H18*$CL$5</f>
        <v>1489.6000000000001</v>
      </c>
      <c r="CY18" s="19">
        <f>H18+CX18</f>
        <v>9089.6</v>
      </c>
      <c r="CZ18" s="20">
        <v>40228</v>
      </c>
      <c r="DA18" s="2">
        <f>(7920+10560)*$CL$5</f>
        <v>3622.08</v>
      </c>
      <c r="DB18" s="19">
        <f>(7920+10560)+DA18</f>
        <v>22102.080000000002</v>
      </c>
      <c r="DC18" s="20">
        <v>36941</v>
      </c>
      <c r="DD18" s="2">
        <f>11500*$CL$5</f>
        <v>2254</v>
      </c>
      <c r="DE18" s="19">
        <f>11500+DD18</f>
        <v>13754</v>
      </c>
      <c r="DF18" s="20">
        <v>40228</v>
      </c>
      <c r="DG18" s="2">
        <f>7920*$CL$5</f>
        <v>1552.3200000000002</v>
      </c>
      <c r="DH18" s="19">
        <f>7920+DG18</f>
        <v>9472.32</v>
      </c>
      <c r="DI18" s="20">
        <v>40228</v>
      </c>
      <c r="DJ18" s="2">
        <f>1194.25*$CL$5</f>
        <v>234.07300000000001</v>
      </c>
      <c r="DK18" s="19">
        <f>1194.25+DJ18</f>
        <v>1428.3230000000001</v>
      </c>
      <c r="DL18" s="20">
        <v>40228</v>
      </c>
      <c r="DM18" s="2">
        <f>3340.75*$CL$5</f>
        <v>654.78700000000003</v>
      </c>
      <c r="DN18" s="19">
        <f>3340.75+DM18</f>
        <v>3995.5370000000003</v>
      </c>
      <c r="DO18" s="20">
        <v>40217</v>
      </c>
      <c r="DP18" s="2">
        <f>16000*$CL$5</f>
        <v>3136</v>
      </c>
      <c r="DQ18" s="19">
        <f>16000+DP18</f>
        <v>19136</v>
      </c>
      <c r="DR18" s="20">
        <v>40217</v>
      </c>
      <c r="DS18" s="2">
        <f>443.5*$CL$5</f>
        <v>86.926000000000002</v>
      </c>
      <c r="DT18" s="19">
        <f>443.5+DS18</f>
        <v>530.42600000000004</v>
      </c>
      <c r="DU18" s="20">
        <v>40217</v>
      </c>
      <c r="DV18" s="2">
        <f>161.7*$CL$5</f>
        <v>31.693199999999997</v>
      </c>
      <c r="DW18" s="19">
        <f>161.7+DV18</f>
        <v>193.39319999999998</v>
      </c>
      <c r="DX18" s="20">
        <v>40217</v>
      </c>
      <c r="DY18" s="2">
        <f>2304.4*$CL$5</f>
        <v>451.66240000000005</v>
      </c>
      <c r="DZ18" s="19">
        <f>2304.4+DY18</f>
        <v>2756.0624000000003</v>
      </c>
      <c r="EA18" s="20">
        <v>40228</v>
      </c>
      <c r="EB18" s="2">
        <f>4800*$CL$5</f>
        <v>940.80000000000007</v>
      </c>
      <c r="EC18" s="19">
        <f>4800+EB18</f>
        <v>5740.8</v>
      </c>
      <c r="ED18" s="20">
        <v>40228</v>
      </c>
      <c r="EE18" s="2">
        <f>1196.64*$CL$5</f>
        <v>234.54144000000002</v>
      </c>
      <c r="EF18" s="19">
        <f>1196.64+EE18</f>
        <v>1431.1814400000001</v>
      </c>
      <c r="EG18" s="20">
        <v>40228</v>
      </c>
      <c r="EH18" s="2">
        <f>1380*$CL$5</f>
        <v>270.48</v>
      </c>
      <c r="EI18" s="19">
        <f>1380+EH18</f>
        <v>1650.48</v>
      </c>
      <c r="EJ18" s="20">
        <v>40228</v>
      </c>
      <c r="EK18" s="2">
        <f>14498.08*$CL$5</f>
        <v>2841.6236800000001</v>
      </c>
      <c r="EL18" s="19">
        <f>14498.08+EK18</f>
        <v>17339.703679999999</v>
      </c>
      <c r="EM18" s="20">
        <v>40228</v>
      </c>
      <c r="EN18" s="2">
        <f>14976*$CL$5</f>
        <v>2935.2960000000003</v>
      </c>
      <c r="EO18" s="19">
        <f>14976+EN18</f>
        <v>17911.296000000002</v>
      </c>
      <c r="EP18" s="20">
        <v>40228</v>
      </c>
      <c r="EQ18" s="2">
        <f>3350*$CL$5</f>
        <v>656.6</v>
      </c>
      <c r="ER18" s="19">
        <f>3350+EQ18</f>
        <v>4006.6</v>
      </c>
      <c r="ES18" s="20">
        <v>40228</v>
      </c>
      <c r="ET18" s="2">
        <f>147644.32*$CL$5</f>
        <v>28938.286720000004</v>
      </c>
      <c r="EU18" s="19">
        <f>147644.32+ET18</f>
        <v>176582.60672000001</v>
      </c>
      <c r="EV18" s="20">
        <v>40228</v>
      </c>
      <c r="EW18" s="2">
        <f>2500*$CL$5</f>
        <v>490</v>
      </c>
      <c r="EX18" s="19">
        <f>2500+EW18</f>
        <v>2990</v>
      </c>
      <c r="EY18" s="20">
        <v>40348</v>
      </c>
      <c r="EZ18" s="2">
        <f>(704.85+4760)*$CL$5</f>
        <v>1071.1106000000002</v>
      </c>
      <c r="FA18" s="19">
        <f>(704.85+4760)+EZ18</f>
        <v>6535.9606000000003</v>
      </c>
      <c r="FB18" s="20">
        <v>40228</v>
      </c>
      <c r="FC18" s="2">
        <f>(15040+15040+15040)*$CL$5</f>
        <v>8843.52</v>
      </c>
      <c r="FD18" s="19">
        <f>(15040+15040+15040)+FC18</f>
        <v>53963.520000000004</v>
      </c>
      <c r="FE18" s="20">
        <v>40228</v>
      </c>
      <c r="FF18" s="2">
        <f>+(14737.02+14720)*$CL$5</f>
        <v>5773.5759200000002</v>
      </c>
      <c r="FG18" s="19">
        <f>+(14737.02+14720)+FF18</f>
        <v>35230.59592</v>
      </c>
      <c r="FH18" s="20">
        <v>40228</v>
      </c>
      <c r="FI18" s="2">
        <f>+(15364.32+15360.48)*$CL$5</f>
        <v>6022.0608000000002</v>
      </c>
      <c r="FJ18" s="19">
        <f>+(15364.32+15360.48)+FI18</f>
        <v>36746.860800000002</v>
      </c>
      <c r="FK18" s="20">
        <v>40228</v>
      </c>
      <c r="FL18" s="2">
        <f>+(15360+6860)*$CL$5</f>
        <v>4355.12</v>
      </c>
      <c r="FM18" s="19">
        <f>+(15360+6860)+FL18</f>
        <v>26575.119999999999</v>
      </c>
      <c r="FN18" s="20">
        <v>40228</v>
      </c>
      <c r="FO18" s="2">
        <f>(15691.27+15003.5+14720.46+16020.5)*$CL$5</f>
        <v>12041.40308</v>
      </c>
      <c r="FP18" s="19">
        <f>(15691.27+15003.5+14720.46+16020.5)+FO18</f>
        <v>73477.13308</v>
      </c>
      <c r="FQ18" s="20">
        <v>40245</v>
      </c>
      <c r="FR18" s="2">
        <f>36400*$CL$5</f>
        <v>7134.4000000000005</v>
      </c>
      <c r="FS18" s="19">
        <f>36400+FR18</f>
        <v>43534.400000000001</v>
      </c>
      <c r="FT18" s="20">
        <v>40254</v>
      </c>
      <c r="FU18" s="2">
        <f>200*$CL$5</f>
        <v>39.200000000000003</v>
      </c>
      <c r="FV18" s="19">
        <f>200+FU18</f>
        <v>239.2</v>
      </c>
      <c r="FW18" s="20">
        <v>40227</v>
      </c>
      <c r="FX18" s="2">
        <f>(798.83+877.07+202.1+590.48)*$CL$5</f>
        <v>483.82208000000003</v>
      </c>
      <c r="FY18" s="19">
        <f>(798.83+877.07+202.1+590.48)+FX18</f>
        <v>2952.3020799999999</v>
      </c>
      <c r="FZ18" s="20">
        <v>40256</v>
      </c>
      <c r="GA18" s="2">
        <f>87404.6*$CL$5</f>
        <v>17131.301600000003</v>
      </c>
      <c r="GB18" s="19">
        <f>87404.6+GA18</f>
        <v>104535.90160000001</v>
      </c>
      <c r="GC18" s="20">
        <v>40259</v>
      </c>
      <c r="GD18" s="2">
        <f>11118.8*$CL$5</f>
        <v>2179.2847999999999</v>
      </c>
      <c r="GE18" s="19">
        <f>11118.8+GD18</f>
        <v>13298.084799999999</v>
      </c>
      <c r="GF18" s="20">
        <v>40259</v>
      </c>
      <c r="GG18" s="2">
        <f>1725*$CL$5</f>
        <v>338.1</v>
      </c>
      <c r="GH18" s="19">
        <f>1725+GG18</f>
        <v>2063.1</v>
      </c>
      <c r="GI18" s="20">
        <v>40165</v>
      </c>
      <c r="GJ18" s="2">
        <f>+CH18*$CL$5</f>
        <v>3753.3902000000003</v>
      </c>
      <c r="GK18" s="19">
        <f>+CH18+GJ18</f>
        <v>22903.340200000002</v>
      </c>
      <c r="GL18" s="20">
        <v>40228</v>
      </c>
      <c r="GM18" s="2">
        <f>959*$CL$5</f>
        <v>187.964</v>
      </c>
      <c r="GN18" s="19">
        <f>GM18+959</f>
        <v>1146.9639999999999</v>
      </c>
    </row>
    <row r="19" spans="1:226">
      <c r="A19" s="5">
        <v>40179</v>
      </c>
      <c r="B19" s="19">
        <v>6940</v>
      </c>
      <c r="C19" s="19">
        <v>8800</v>
      </c>
      <c r="D19" s="19">
        <v>11500</v>
      </c>
      <c r="E19" s="19">
        <v>15166</v>
      </c>
      <c r="F19" s="19">
        <v>10969.4</v>
      </c>
      <c r="G19" s="2"/>
      <c r="H19" s="19">
        <v>8000</v>
      </c>
      <c r="I19" s="19">
        <f>8640+9600</f>
        <v>18240</v>
      </c>
      <c r="J19" s="19">
        <v>11966.8</v>
      </c>
      <c r="K19" s="6"/>
      <c r="L19" s="19">
        <f>670</f>
        <v>670</v>
      </c>
      <c r="M19" s="19">
        <f>960+64443.13</f>
        <v>65403.13</v>
      </c>
      <c r="N19" s="19">
        <f>16960+14275.12+13195+15846.44+15852.38</f>
        <v>76128.94</v>
      </c>
      <c r="O19" s="19">
        <f>1212.3+2500+2500</f>
        <v>6212.3</v>
      </c>
      <c r="P19" s="19">
        <f>12+12</f>
        <v>24</v>
      </c>
      <c r="Q19" s="6"/>
      <c r="R19" s="19">
        <v>979</v>
      </c>
      <c r="S19" s="19">
        <v>140.69999999999999</v>
      </c>
      <c r="T19" s="19">
        <f>598.6+849.04</f>
        <v>1447.6399999999999</v>
      </c>
      <c r="U19" s="2"/>
      <c r="V19" s="2"/>
      <c r="W19" s="19">
        <v>9495</v>
      </c>
      <c r="X19" s="19">
        <v>1930</v>
      </c>
      <c r="Y19" s="2"/>
      <c r="Z19" s="2"/>
      <c r="AA19" s="2"/>
      <c r="AB19" s="19">
        <f>3056.94+3633.56-3850.82</f>
        <v>2839.68</v>
      </c>
      <c r="AC19" s="19">
        <f>89169.12+75098.9</f>
        <v>164268.01999999999</v>
      </c>
      <c r="AD19" s="2"/>
      <c r="AE19" s="2"/>
      <c r="AF19" s="19">
        <f>5704.6+11880</f>
        <v>17584.599999999999</v>
      </c>
      <c r="AG19" s="2"/>
      <c r="AH19" s="19">
        <v>7200</v>
      </c>
      <c r="AI19" s="2"/>
      <c r="AJ19" s="19">
        <f>5040+7351.5</f>
        <v>12391.5</v>
      </c>
      <c r="AK19" s="19">
        <v>21562.799999999999</v>
      </c>
      <c r="AL19" s="19">
        <f>7779.78+7779.79+42.62+799.73+11169.49+507.3+10373.05+56.78+749.15</f>
        <v>39257.69</v>
      </c>
      <c r="AM19" s="19">
        <v>10939.2</v>
      </c>
      <c r="AN19" s="19">
        <v>2913.93</v>
      </c>
      <c r="AO19" s="19">
        <f>4643.85+1937.4</f>
        <v>6581.25</v>
      </c>
      <c r="AP19" s="19">
        <f>2927.7+2459</f>
        <v>5386.7</v>
      </c>
      <c r="AQ19" s="19">
        <v>843</v>
      </c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2"/>
      <c r="CH19" s="2">
        <f>26405.23-4364.1+19762.31-7810.73+23458.59-14164.5+32543.85-35312.42+14649.3-43954.33+72709.33+35830.05</f>
        <v>119752.58</v>
      </c>
      <c r="CI19" s="2">
        <f>629462.05-B19-C19-D19-E19-F19-G19-H19-I19-J19-L19-M19-N19-O19-P19-Q19-R19-S19-T19-U19-V19-W19-X19-Y19-Z19-AA19-AB19-AC19-AD19-AE19-AF19-AG19-AH19-AI19-AJ19-AK19-AL19-AM19-AN19-AO19-AP19-AQ19-CG19-CH19</f>
        <v>-36071.810000000012</v>
      </c>
      <c r="CJ19" s="6">
        <f t="shared" si="1"/>
        <v>629462.04999999981</v>
      </c>
      <c r="CK19" s="20">
        <v>40158</v>
      </c>
      <c r="CL19" s="6">
        <f>7779.78*$CL$5</f>
        <v>1524.8368800000001</v>
      </c>
      <c r="CM19" s="19">
        <f>7779.78+CL19</f>
        <v>9304.6168799999996</v>
      </c>
      <c r="CN19" s="8">
        <v>40192</v>
      </c>
      <c r="CO19" s="2">
        <f>14275.12*$CL$5</f>
        <v>2797.9235200000003</v>
      </c>
      <c r="CP19" s="19">
        <f>14275.12+CO19</f>
        <v>17073.043519999999</v>
      </c>
      <c r="CQ19" s="8">
        <v>40192</v>
      </c>
      <c r="CR19" s="2">
        <f>13195*$CL$5</f>
        <v>2586.2200000000003</v>
      </c>
      <c r="CS19" s="19">
        <f>13195+CR19</f>
        <v>15781.220000000001</v>
      </c>
      <c r="CT19" s="8">
        <v>40213</v>
      </c>
      <c r="CU19" s="2">
        <f>1169.49*$CL$5</f>
        <v>229.22004000000001</v>
      </c>
      <c r="CV19" s="19">
        <f>11169.49+CU19</f>
        <v>11398.71004</v>
      </c>
      <c r="CW19" s="20">
        <v>40213</v>
      </c>
      <c r="CX19" s="2">
        <f>799.73*$CL$5</f>
        <v>156.74708000000001</v>
      </c>
      <c r="CY19" s="19">
        <f>799.73+CX19</f>
        <v>956.47708</v>
      </c>
      <c r="CZ19" s="20">
        <v>40213</v>
      </c>
      <c r="DA19" s="2">
        <f>507.3*$CL$5</f>
        <v>99.430800000000005</v>
      </c>
      <c r="DB19" s="19">
        <f>507.3+DA19</f>
        <v>606.73080000000004</v>
      </c>
      <c r="DC19" s="20">
        <v>40213</v>
      </c>
      <c r="DD19" s="2">
        <f>42.62*$CL$5+0.01</f>
        <v>8.3635199999999994</v>
      </c>
      <c r="DE19" s="19">
        <f>42.62+DD19</f>
        <v>50.983519999999999</v>
      </c>
      <c r="DF19" s="20">
        <v>40213</v>
      </c>
      <c r="DG19" s="2">
        <f>7779.79*$CL$5</f>
        <v>1524.8388400000001</v>
      </c>
      <c r="DH19" s="19">
        <f>7779.79+DG19</f>
        <v>9304.6288399999994</v>
      </c>
      <c r="DI19" s="20">
        <v>40214</v>
      </c>
      <c r="DJ19" s="2">
        <f>+S19*$CL$5</f>
        <v>27.577199999999998</v>
      </c>
      <c r="DK19" s="19">
        <f>+S19+DJ19</f>
        <v>168.27719999999999</v>
      </c>
      <c r="DL19" s="20">
        <v>40228</v>
      </c>
      <c r="DM19" s="2">
        <f>1212.3*$CL$5</f>
        <v>237.61080000000001</v>
      </c>
      <c r="DN19" s="19">
        <f>1212.3+DM19</f>
        <v>1449.9107999999999</v>
      </c>
      <c r="DO19" s="20">
        <v>40252</v>
      </c>
      <c r="DP19" s="2">
        <f>598.6*$CL$5</f>
        <v>117.32560000000001</v>
      </c>
      <c r="DQ19" s="19">
        <f>598.6+DP19</f>
        <v>715.92560000000003</v>
      </c>
      <c r="DR19" s="20">
        <v>40213</v>
      </c>
      <c r="DS19">
        <f>12*$CL$5</f>
        <v>2.3520000000000003</v>
      </c>
      <c r="DT19" s="19">
        <f>12+DS19</f>
        <v>14.352</v>
      </c>
      <c r="DU19" s="20">
        <v>40217</v>
      </c>
      <c r="DV19" s="2">
        <f>56.78*$CL$5</f>
        <v>11.128880000000001</v>
      </c>
      <c r="DW19" s="19">
        <f>56.78+DV19</f>
        <v>67.908879999999996</v>
      </c>
      <c r="DX19" s="20">
        <v>40217</v>
      </c>
      <c r="DY19" s="2">
        <f>10373.05*$CL$5</f>
        <v>2033.1178</v>
      </c>
      <c r="DZ19" s="19">
        <f>10373.05+DY19</f>
        <v>12406.167799999999</v>
      </c>
      <c r="EA19" s="20">
        <v>40217</v>
      </c>
      <c r="EB19" s="2">
        <f>749.15*$CL$5</f>
        <v>146.83340000000001</v>
      </c>
      <c r="EC19" s="19">
        <f>749.15+EB19</f>
        <v>895.98339999999996</v>
      </c>
      <c r="ED19" s="20">
        <v>40228</v>
      </c>
      <c r="EE19" s="2">
        <f>4643.85*$CL$5</f>
        <v>910.19460000000015</v>
      </c>
      <c r="EF19" s="19">
        <f>4643.85+EE19</f>
        <v>5554.0446000000002</v>
      </c>
      <c r="EG19" s="20">
        <v>40252</v>
      </c>
      <c r="EH19" s="2">
        <f>5704.6*$CL$5</f>
        <v>1118.1016000000002</v>
      </c>
      <c r="EI19" s="19">
        <f>5704.6+EH19</f>
        <v>6822.7016000000003</v>
      </c>
      <c r="EJ19" s="20">
        <v>40253</v>
      </c>
      <c r="EK19" s="2">
        <f>H19*$CL$5</f>
        <v>1568</v>
      </c>
      <c r="EL19" s="19">
        <f>8000+EK19</f>
        <v>9568</v>
      </c>
      <c r="EM19" s="20">
        <v>40253</v>
      </c>
      <c r="EN19" s="2">
        <f>7351.5*$CL$5</f>
        <v>1440.894</v>
      </c>
      <c r="EO19" s="19">
        <f>7351.5+EN19</f>
        <v>8792.3940000000002</v>
      </c>
      <c r="EP19" s="20">
        <v>40253</v>
      </c>
      <c r="EQ19" s="2">
        <f>5040*$CL$5</f>
        <v>987.84</v>
      </c>
      <c r="ER19" s="19">
        <f>5040+EQ19</f>
        <v>6027.84</v>
      </c>
      <c r="ES19" s="20">
        <v>40254</v>
      </c>
      <c r="ET19" s="2">
        <f>+J19*$CL$5</f>
        <v>2345.4928</v>
      </c>
      <c r="EU19" s="19">
        <f>+J19+ET19</f>
        <v>14312.292799999999</v>
      </c>
      <c r="EV19" s="20">
        <v>40227</v>
      </c>
      <c r="EW19" s="2">
        <f>7200*$CL$5</f>
        <v>1411.2</v>
      </c>
      <c r="EX19" s="19">
        <f>7200+EW19</f>
        <v>8611.2000000000007</v>
      </c>
      <c r="EY19" s="20">
        <v>40253</v>
      </c>
      <c r="EZ19" s="2">
        <f>X19*$CL$5</f>
        <v>378.28000000000003</v>
      </c>
      <c r="FA19" s="19">
        <f>+X19+EZ19</f>
        <v>2308.2800000000002</v>
      </c>
      <c r="FB19" s="20">
        <v>40253</v>
      </c>
      <c r="FC19" s="2">
        <f>L19*$CL$5</f>
        <v>131.32</v>
      </c>
      <c r="FD19" s="19">
        <f>+L19+FC19</f>
        <v>801.31999999999994</v>
      </c>
      <c r="FE19" s="20">
        <v>40256</v>
      </c>
      <c r="FF19" s="2">
        <f>2500*$CL$5</f>
        <v>490</v>
      </c>
      <c r="FG19" s="19">
        <f>2500+FF19</f>
        <v>2990</v>
      </c>
      <c r="FH19" s="20">
        <v>40256</v>
      </c>
      <c r="FI19" s="2">
        <f>2500*$CL$5</f>
        <v>490</v>
      </c>
      <c r="FJ19" s="19">
        <f>2500+FI19</f>
        <v>2990</v>
      </c>
      <c r="FK19" s="20">
        <v>40256</v>
      </c>
      <c r="FL19" s="2">
        <f>3056.94*$CL$5</f>
        <v>599.16024000000004</v>
      </c>
      <c r="FM19" s="19">
        <f>3056.94+FL19</f>
        <v>3656.1002400000002</v>
      </c>
      <c r="FN19" s="20">
        <v>40256</v>
      </c>
      <c r="FO19" s="2">
        <f>3633.56*$CL$5</f>
        <v>712.17776000000003</v>
      </c>
      <c r="FP19" s="19">
        <f>3633.56+FO19</f>
        <v>4345.73776</v>
      </c>
      <c r="FQ19" s="20">
        <v>40256</v>
      </c>
      <c r="FR19" s="2">
        <f>843*$CL$5</f>
        <v>165.22800000000001</v>
      </c>
      <c r="FS19" s="19">
        <f>843+FR19</f>
        <v>1008.2280000000001</v>
      </c>
      <c r="FT19" s="20">
        <v>40256</v>
      </c>
      <c r="FU19" s="2">
        <f>1937.4*$CL$5</f>
        <v>379.73040000000003</v>
      </c>
      <c r="FV19" s="19">
        <f>1937.4+FU19</f>
        <v>2317.1304</v>
      </c>
      <c r="FW19" s="20">
        <v>40256</v>
      </c>
      <c r="FX19" s="2">
        <f>75098.9*$CL$5</f>
        <v>14719.384399999999</v>
      </c>
      <c r="FY19" s="19">
        <f>75098.9+FX19</f>
        <v>89818.28439999999</v>
      </c>
      <c r="FZ19" s="20">
        <v>40259</v>
      </c>
      <c r="GA19" s="2">
        <f>0</f>
        <v>0</v>
      </c>
      <c r="GB19" s="19">
        <f>15166+GA19</f>
        <v>15166</v>
      </c>
      <c r="GC19" s="20">
        <v>40259</v>
      </c>
      <c r="GD19" s="2">
        <f>0</f>
        <v>0</v>
      </c>
      <c r="GE19" s="19">
        <f>10969.4+GD19</f>
        <v>10969.4</v>
      </c>
      <c r="GF19" s="20">
        <v>40259</v>
      </c>
      <c r="GG19" s="2">
        <f>11880*$CL$5</f>
        <v>2328.48</v>
      </c>
      <c r="GH19" s="19">
        <f>11880+GG19</f>
        <v>14208.48</v>
      </c>
      <c r="GI19" s="20">
        <v>40259</v>
      </c>
      <c r="GJ19" s="2">
        <f>849.04*$CL$5</f>
        <v>166.41184000000001</v>
      </c>
      <c r="GK19" s="19">
        <f>849.04+GJ19</f>
        <v>1015.4518399999999</v>
      </c>
      <c r="GL19" s="20">
        <v>40259</v>
      </c>
      <c r="GM19" s="2">
        <f>10939.2*$CL$5</f>
        <v>2144.0832</v>
      </c>
      <c r="GN19" s="19">
        <f>10939.2+GM19</f>
        <v>13083.283200000002</v>
      </c>
      <c r="GO19" s="20">
        <v>40259</v>
      </c>
      <c r="GP19" s="2">
        <f>9495*$CL$5</f>
        <v>1861.02</v>
      </c>
      <c r="GQ19" s="19">
        <f>9495+GP19</f>
        <v>11356.02</v>
      </c>
      <c r="GR19" s="20">
        <v>40259</v>
      </c>
      <c r="GS19" s="2">
        <f>8800*$CL$5</f>
        <v>1724.8</v>
      </c>
      <c r="GT19" s="19">
        <f>8800+GS19</f>
        <v>10524.8</v>
      </c>
      <c r="GU19" s="20">
        <v>40259</v>
      </c>
      <c r="GV19" s="6">
        <f>(8640+9600)*$CL$5</f>
        <v>3575.04</v>
      </c>
      <c r="GW19" s="19">
        <f>(8640+9600)+GV19</f>
        <v>21815.040000000001</v>
      </c>
      <c r="GX19" s="20">
        <v>40259</v>
      </c>
      <c r="GY19" s="6">
        <f>11500*$CL$5</f>
        <v>2254</v>
      </c>
      <c r="GZ19" s="19">
        <f>11500+GY19</f>
        <v>13754</v>
      </c>
      <c r="HA19" s="20">
        <v>40255</v>
      </c>
      <c r="HB19" s="6">
        <f>89169.12*$CL$5</f>
        <v>17477.147519999999</v>
      </c>
      <c r="HC19" s="19">
        <f>89169.12+HB19</f>
        <v>106646.26751999999</v>
      </c>
      <c r="HD19" s="20">
        <v>40255</v>
      </c>
      <c r="HE19" s="6">
        <f>0</f>
        <v>0</v>
      </c>
      <c r="HF19" s="19">
        <f>21562.8+HE19</f>
        <v>21562.799999999999</v>
      </c>
      <c r="HG19" s="20">
        <v>40249</v>
      </c>
      <c r="HH19" s="6">
        <f>0</f>
        <v>0</v>
      </c>
      <c r="HI19" s="19">
        <f>5386.7+0</f>
        <v>5386.7</v>
      </c>
      <c r="HJ19" s="20">
        <v>40274</v>
      </c>
      <c r="HK19" s="6">
        <f>16960*$CL$5</f>
        <v>3324.1600000000003</v>
      </c>
      <c r="HL19" s="19">
        <f>16960+HK19</f>
        <v>20284.16</v>
      </c>
      <c r="HM19" s="20">
        <v>40274</v>
      </c>
      <c r="HN19" s="6">
        <f>15852.38*$CL$5</f>
        <v>3107.06648</v>
      </c>
      <c r="HO19" s="19">
        <f>15852.38+HN19</f>
        <v>18959.446479999999</v>
      </c>
      <c r="HP19" s="20">
        <v>40274</v>
      </c>
      <c r="HQ19" s="6">
        <f>15846.44*$CL$5</f>
        <v>3105.9022400000003</v>
      </c>
      <c r="HR19" s="19">
        <f>15846.44+HQ19</f>
        <v>18952.342240000002</v>
      </c>
    </row>
    <row r="20" spans="1:226">
      <c r="A20" s="5">
        <v>40210</v>
      </c>
      <c r="B20" s="19">
        <v>6940</v>
      </c>
      <c r="C20" s="19">
        <v>7920</v>
      </c>
      <c r="D20" s="19">
        <v>11500</v>
      </c>
      <c r="E20" s="19">
        <v>15166</v>
      </c>
      <c r="F20" s="19">
        <v>10969.4</v>
      </c>
      <c r="G20" s="2"/>
      <c r="H20" s="2"/>
      <c r="I20" s="19">
        <f>9600+9600</f>
        <v>19200</v>
      </c>
      <c r="J20" s="19">
        <v>11300</v>
      </c>
      <c r="K20" s="6"/>
      <c r="L20" s="2"/>
      <c r="M20" s="2"/>
      <c r="N20" s="19">
        <f>16160+15520</f>
        <v>31680</v>
      </c>
      <c r="O20" s="2"/>
      <c r="P20" s="2"/>
      <c r="Q20" s="6"/>
      <c r="R20" s="2"/>
      <c r="S20" s="2"/>
      <c r="T20" s="19">
        <f>878.7+887.9+860.6</f>
        <v>2627.2</v>
      </c>
      <c r="U20" s="2"/>
      <c r="V20" s="2"/>
      <c r="W20" s="19">
        <f>345+2810</f>
        <v>3155</v>
      </c>
      <c r="X20" s="19">
        <f>4680</f>
        <v>4680</v>
      </c>
      <c r="Y20" s="19">
        <v>35</v>
      </c>
      <c r="Z20" s="2"/>
      <c r="AA20" s="2"/>
      <c r="AB20" s="19">
        <f>2561.22</f>
        <v>2561.2199999999998</v>
      </c>
      <c r="AC20" s="19">
        <v>145942.79999999999</v>
      </c>
      <c r="AD20" s="19">
        <f>2450+11000+780+5400</f>
        <v>19630</v>
      </c>
      <c r="AE20" s="2"/>
      <c r="AF20" s="19">
        <f>17201.8+7684.6</f>
        <v>24886.400000000001</v>
      </c>
      <c r="AG20" s="2"/>
      <c r="AH20" s="2"/>
      <c r="AI20" s="2"/>
      <c r="AJ20" s="19">
        <v>9800</v>
      </c>
      <c r="AK20" s="2"/>
      <c r="AL20" s="19">
        <f>2771.47+17628.61</f>
        <v>20400.080000000002</v>
      </c>
      <c r="AM20" s="2"/>
      <c r="AN20" s="19">
        <v>-2913.93</v>
      </c>
      <c r="AO20" s="2"/>
      <c r="AP20" s="19">
        <v>23768.5</v>
      </c>
      <c r="AQ20" s="19">
        <f>1922.76</f>
        <v>1922.76</v>
      </c>
      <c r="AR20" s="19">
        <f>3765+2537.6</f>
        <v>6302.6</v>
      </c>
      <c r="AS20" s="19">
        <f>1461.68+82.15</f>
        <v>1543.8300000000002</v>
      </c>
      <c r="AT20" s="19">
        <v>1200</v>
      </c>
      <c r="AU20" s="19">
        <f>185.2+416.28+565.28</f>
        <v>1166.76</v>
      </c>
      <c r="AV20" s="19">
        <f>7600+4200</f>
        <v>11800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>
        <f>52161.66+92450.72+157203.35</f>
        <v>301815.73</v>
      </c>
      <c r="CI20" s="2">
        <f>629462.02-B20-C20-D20-E20-F20-G20-H20-I20-J20-L20-M20-N20-O20-P20-Q20-R20-S20-T20-U20-V20-W20-X20-Y20-Z20-AA20-AB20-AC20-AD20-AE20-AF20-AG20-AH20-AI20-AJ20-AK20-AL20-AM20-AN20-AO20-AP20-AQ20-AR20-AS20-AT20-AU20-AV20-CG20-CH20</f>
        <v>-65537.330000000016</v>
      </c>
      <c r="CJ20" s="6">
        <f t="shared" si="1"/>
        <v>629462.02</v>
      </c>
      <c r="CK20" s="20">
        <v>40253</v>
      </c>
      <c r="CL20" s="2">
        <f>+X20*$CL$5</f>
        <v>917.28000000000009</v>
      </c>
      <c r="CM20" s="19">
        <f>+X20+CL20</f>
        <v>5597.28</v>
      </c>
      <c r="CN20" s="8">
        <v>40253</v>
      </c>
      <c r="CO20" s="2">
        <f>82.15*$CL$5</f>
        <v>16.101400000000002</v>
      </c>
      <c r="CP20" s="19">
        <f>82.15+CO20</f>
        <v>98.251400000000004</v>
      </c>
      <c r="CQ20" s="8">
        <v>40253</v>
      </c>
      <c r="CR20" s="2">
        <f>(185.2+416.28+565.28)*$CL$5</f>
        <v>228.68496000000002</v>
      </c>
      <c r="CS20" s="19">
        <f>(185.2+416.28+565.28)+CR20</f>
        <v>1395.44496</v>
      </c>
      <c r="CT20" s="8">
        <v>40256</v>
      </c>
      <c r="CU20" s="2">
        <f>1200*$CL$5</f>
        <v>235.20000000000002</v>
      </c>
      <c r="CV20" s="19">
        <f>1200+CU20</f>
        <v>1435.2</v>
      </c>
      <c r="CW20" s="20">
        <v>40255</v>
      </c>
      <c r="CX20" s="2">
        <f>(2771.47+17628.61)*$CL$5</f>
        <v>3998.4156800000005</v>
      </c>
      <c r="CY20" s="19">
        <f>(2771.47+17628.61)+CX20</f>
        <v>24398.495680000004</v>
      </c>
      <c r="CZ20" s="20">
        <v>40283</v>
      </c>
      <c r="DA20" s="2">
        <f>9800*$CL$5</f>
        <v>1920.8000000000002</v>
      </c>
      <c r="DB20" s="19">
        <f>9800+DA20</f>
        <v>11720.8</v>
      </c>
      <c r="DC20" s="20">
        <v>40283</v>
      </c>
      <c r="DD20" s="2">
        <f>AB20*$CL$5</f>
        <v>501.99912</v>
      </c>
      <c r="DE20" s="19">
        <f>+AB20+DD20</f>
        <v>3063.2191199999997</v>
      </c>
      <c r="DF20" s="20">
        <v>40283</v>
      </c>
      <c r="DG20" s="2">
        <f>+J20*$CL$5</f>
        <v>2214.8000000000002</v>
      </c>
      <c r="DH20" s="19">
        <f>+J20+DG20</f>
        <v>13514.8</v>
      </c>
      <c r="DI20" s="20">
        <v>40283</v>
      </c>
      <c r="DJ20" s="2">
        <f>AC20*$CL$5</f>
        <v>28604.788799999998</v>
      </c>
      <c r="DK20" s="19">
        <f>+AC20+DJ20</f>
        <v>174547.5888</v>
      </c>
      <c r="DL20" s="20">
        <v>40283</v>
      </c>
      <c r="DM20" s="2">
        <v>0</v>
      </c>
      <c r="DN20" s="19">
        <f>+E20+DM20</f>
        <v>15166</v>
      </c>
      <c r="DO20" s="20">
        <v>40283</v>
      </c>
      <c r="DP20" s="2">
        <v>0</v>
      </c>
      <c r="DQ20" s="19">
        <f>+F20+DP20</f>
        <v>10969.4</v>
      </c>
      <c r="DR20" s="20">
        <v>40283</v>
      </c>
      <c r="DS20" s="2">
        <f>(17201.8+7684.6)*$CL$5</f>
        <v>4877.7344000000003</v>
      </c>
      <c r="DT20" s="19">
        <f>(17201.8+7684.6)+DS20</f>
        <v>29764.134400000003</v>
      </c>
      <c r="DU20" s="20">
        <v>40283</v>
      </c>
      <c r="DV20" s="2">
        <f>C20*$CL$5</f>
        <v>1552.3200000000002</v>
      </c>
      <c r="DW20" s="19">
        <f>+C20+DV20</f>
        <v>9472.32</v>
      </c>
      <c r="DX20" s="20">
        <v>40217</v>
      </c>
      <c r="DY20" s="2">
        <f>35*$CL$5</f>
        <v>6.86</v>
      </c>
      <c r="DZ20" s="19">
        <f>35+DY20</f>
        <v>41.86</v>
      </c>
      <c r="EA20" s="20">
        <v>40238</v>
      </c>
      <c r="EB20" s="2">
        <f>7200*$CL$5</f>
        <v>1411.2</v>
      </c>
      <c r="EC20" s="19">
        <f>7200+EB20</f>
        <v>8611.2000000000007</v>
      </c>
      <c r="ED20" s="20">
        <v>40283</v>
      </c>
      <c r="EE20" s="2">
        <f>(3765+2537.6)*$CL$5</f>
        <v>1235.3096</v>
      </c>
      <c r="EF20" s="19">
        <f>(3765+2537.6)+EE20</f>
        <v>7537.9096000000009</v>
      </c>
      <c r="EG20" s="20">
        <v>40283</v>
      </c>
      <c r="EH20" s="2">
        <f>(345+2810)*$CL$5</f>
        <v>618.38</v>
      </c>
      <c r="EI20" s="19">
        <f>(345+2810)+EH20</f>
        <v>3773.38</v>
      </c>
      <c r="EJ20" s="20">
        <v>40283</v>
      </c>
      <c r="EK20" s="2">
        <f>(9600+9600)*$CL$5</f>
        <v>3763.2000000000003</v>
      </c>
      <c r="EL20" s="19">
        <f>(9600+9600)+EK20</f>
        <v>22963.200000000001</v>
      </c>
      <c r="EM20" s="20">
        <v>40283</v>
      </c>
      <c r="EN20" s="2">
        <f>+D20*$CL$5</f>
        <v>2254</v>
      </c>
      <c r="EO20" s="19">
        <f>+D20+EN20</f>
        <v>13754</v>
      </c>
      <c r="EP20" s="20">
        <v>40283</v>
      </c>
      <c r="EQ20" s="2">
        <f>+B20*$CL$5</f>
        <v>1360.24</v>
      </c>
      <c r="ER20" s="19">
        <f>+B20+EQ20</f>
        <v>8300.24</v>
      </c>
      <c r="ES20" s="20">
        <v>40283</v>
      </c>
      <c r="ET20" s="2">
        <f>(2450+11000+780+5400)*$CL$5</f>
        <v>3847.48</v>
      </c>
      <c r="EU20" s="19">
        <f>(2450+11000+780+5400)+ET20</f>
        <v>23477.48</v>
      </c>
      <c r="EV20" s="20">
        <v>40283</v>
      </c>
      <c r="EW20" s="2">
        <f>AQ20*$CL$5</f>
        <v>376.86096000000003</v>
      </c>
      <c r="EX20" s="19">
        <f>+AQ20+EW20</f>
        <v>2299.6209600000002</v>
      </c>
      <c r="EY20" s="20">
        <v>40283</v>
      </c>
      <c r="EZ20" s="2">
        <f>(16160+15520)*$CL$5</f>
        <v>6209.2800000000007</v>
      </c>
      <c r="FA20" s="19">
        <f>(16160+15520)+EZ20</f>
        <v>37889.279999999999</v>
      </c>
      <c r="FB20" s="20">
        <v>40283</v>
      </c>
      <c r="FC20" s="2">
        <f>AV20*$CL$5</f>
        <v>2312.8000000000002</v>
      </c>
      <c r="FD20" s="19">
        <f>+AV20+FC20</f>
        <v>14112.8</v>
      </c>
      <c r="FE20" s="20">
        <v>40295</v>
      </c>
      <c r="FF20" s="2">
        <v>0</v>
      </c>
      <c r="FG20" s="19">
        <f>+AP20+FF20</f>
        <v>23768.5</v>
      </c>
    </row>
    <row r="21" spans="1:226">
      <c r="A21" s="5">
        <v>40238</v>
      </c>
      <c r="B21" s="19">
        <v>3470</v>
      </c>
      <c r="C21" s="19">
        <v>10120</v>
      </c>
      <c r="D21" s="19">
        <v>11500</v>
      </c>
      <c r="E21" s="19">
        <v>15995.11</v>
      </c>
      <c r="F21" s="19">
        <v>12614.81</v>
      </c>
      <c r="G21" s="2"/>
      <c r="H21" s="19">
        <v>5200</v>
      </c>
      <c r="I21" s="19">
        <f>9600+11040</f>
        <v>20640</v>
      </c>
      <c r="J21" s="19">
        <f>12995+138.1</f>
        <v>13133.1</v>
      </c>
      <c r="K21" s="6"/>
      <c r="L21" s="2"/>
      <c r="M21" s="19">
        <f>18930.32+29757+105162.39+6400</f>
        <v>160249.71</v>
      </c>
      <c r="N21" s="2"/>
      <c r="O21" s="19">
        <f>7881.38-2500</f>
        <v>5381.38</v>
      </c>
      <c r="P21" s="19">
        <f>-12+4.04</f>
        <v>-7.96</v>
      </c>
      <c r="Q21" s="6"/>
      <c r="R21" s="19">
        <f>15274.88+4879</f>
        <v>20153.879999999997</v>
      </c>
      <c r="S21" s="2"/>
      <c r="T21" s="2"/>
      <c r="U21" s="2"/>
      <c r="V21" s="2"/>
      <c r="W21" s="19">
        <f>1207.5+172.5+2070</f>
        <v>3450</v>
      </c>
      <c r="X21" s="19">
        <v>5295</v>
      </c>
      <c r="Y21" s="6"/>
      <c r="Z21" s="19">
        <f>385+850</f>
        <v>1235</v>
      </c>
      <c r="AA21" s="2"/>
      <c r="AB21" s="2"/>
      <c r="AC21" s="19">
        <f>12384.6</f>
        <v>12384.6</v>
      </c>
      <c r="AD21" s="2"/>
      <c r="AE21" s="19">
        <v>9100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9">
        <v>161.46</v>
      </c>
      <c r="AR21" s="2"/>
      <c r="AS21" s="2"/>
      <c r="AT21" s="2"/>
      <c r="AU21" s="19">
        <f>565.28+3470</f>
        <v>4035.2799999999997</v>
      </c>
      <c r="AV21" s="2"/>
      <c r="AW21" s="19">
        <f>10547</f>
        <v>10547</v>
      </c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>
        <v>27741.08</v>
      </c>
      <c r="CI21" s="2">
        <f>366275.33-B21-C21-D21-E21-F21-G21-H21-I21-J21-L21-M21-N21-O21-P21-Q21-R21-S21-T21-U21-V21-W21-X21-Y21-Z21-AA21-AB21-AC21-AD21-AE21-AF21-AG21-AH21-AI21-AJ21-AK21-AL21-AM21-AN21-AO21-AP21-AQ21-AR21-AS21-AT21-AU21-AV21-AW21-CG21-CH21</f>
        <v>13875.880000000077</v>
      </c>
      <c r="CJ21" s="6">
        <f t="shared" si="1"/>
        <v>366275.33000000007</v>
      </c>
      <c r="CK21" s="20">
        <v>40267</v>
      </c>
      <c r="CL21" s="2">
        <f>20153.88*$CL$5</f>
        <v>3950.1604800000005</v>
      </c>
      <c r="CM21" s="19">
        <f>20153.88+CL21</f>
        <v>24104.040480000003</v>
      </c>
      <c r="CN21" s="8">
        <v>40283</v>
      </c>
      <c r="CO21" s="2">
        <f>+AC21*$CL$5</f>
        <v>2427.3816000000002</v>
      </c>
      <c r="CP21" s="19">
        <f>+AC21+CO21</f>
        <v>14811.981600000001</v>
      </c>
      <c r="CQ21" s="8">
        <v>40283</v>
      </c>
      <c r="CR21" s="2">
        <f>(878.7+887.9+860.6)*$CL$5</f>
        <v>514.93119999999999</v>
      </c>
      <c r="CS21" s="19">
        <f>(878.7+887.9+860.6)+CR21</f>
        <v>3142.1311999999998</v>
      </c>
      <c r="CT21" s="8">
        <v>40283</v>
      </c>
      <c r="CU21" s="2">
        <f>H21*$CL$5</f>
        <v>1019.2</v>
      </c>
      <c r="CV21" s="19">
        <f>+H21+CU21</f>
        <v>6219.2</v>
      </c>
      <c r="CW21" s="20">
        <v>40283</v>
      </c>
      <c r="CX21" s="2">
        <f>X21*$CL$5</f>
        <v>1037.82</v>
      </c>
      <c r="CY21" s="19">
        <f>+X21+CX21</f>
        <v>6332.82</v>
      </c>
      <c r="CZ21" s="20">
        <v>40283</v>
      </c>
      <c r="DA21" s="2">
        <f>1207.5*$CL$5</f>
        <v>236.67000000000002</v>
      </c>
      <c r="DB21" s="19">
        <f>1207.5+DA21</f>
        <v>1444.17</v>
      </c>
      <c r="DC21" s="20">
        <v>40283</v>
      </c>
      <c r="DD21" s="2">
        <f>385*$CL$5</f>
        <v>75.460000000000008</v>
      </c>
      <c r="DE21" s="19">
        <f>385+DD21</f>
        <v>460.46000000000004</v>
      </c>
      <c r="DF21" s="20">
        <v>40308</v>
      </c>
      <c r="DG21" s="2">
        <v>0</v>
      </c>
      <c r="DH21" s="19">
        <f>E21</f>
        <v>15995.11</v>
      </c>
      <c r="DI21" s="20">
        <v>40308</v>
      </c>
      <c r="DJ21" s="2">
        <f>3470*$CL$5</f>
        <v>680.12</v>
      </c>
      <c r="DK21" s="19">
        <f>3470+DJ21</f>
        <v>4150.12</v>
      </c>
      <c r="DL21" s="20">
        <v>40308</v>
      </c>
      <c r="DM21" s="2">
        <f>+C21*$CL$5</f>
        <v>1983.52</v>
      </c>
      <c r="DN21" s="19">
        <f>+C21+DM21</f>
        <v>12103.52</v>
      </c>
      <c r="DO21" s="20">
        <v>40308</v>
      </c>
      <c r="DP21" s="2">
        <f>(9600+11040)*$CL$5</f>
        <v>4045.44</v>
      </c>
      <c r="DQ21" s="19">
        <f>(9600+11040)+DP21</f>
        <v>24685.439999999999</v>
      </c>
      <c r="DR21" s="20">
        <v>40308</v>
      </c>
      <c r="DS21" s="2">
        <f>(12995+138.1)*$CL$5</f>
        <v>2574.0876000000003</v>
      </c>
      <c r="DT21" s="19">
        <f>(12995+138.1)+DS21</f>
        <v>15707.187600000001</v>
      </c>
      <c r="DU21" s="20">
        <v>40308</v>
      </c>
      <c r="DV21" s="2">
        <f>+D21*$CL$5</f>
        <v>2254</v>
      </c>
      <c r="DW21" s="19">
        <f>+D21+DV21</f>
        <v>13754</v>
      </c>
      <c r="DX21" s="20">
        <v>40308</v>
      </c>
      <c r="DY21" s="2">
        <v>0</v>
      </c>
      <c r="DZ21" s="19">
        <f>+F21+DY21</f>
        <v>12614.81</v>
      </c>
      <c r="EA21" s="20">
        <v>37052</v>
      </c>
      <c r="EB21" s="2">
        <f>172.5*$CL$5</f>
        <v>33.81</v>
      </c>
      <c r="EC21" s="19">
        <f>172.5+EB21</f>
        <v>206.31</v>
      </c>
      <c r="ED21" s="20">
        <v>40339</v>
      </c>
      <c r="EE21" s="2">
        <f>2070*$CL$5</f>
        <v>405.72</v>
      </c>
      <c r="EF21" s="19">
        <f>2070+EE21</f>
        <v>2475.7200000000003</v>
      </c>
      <c r="EG21" s="20">
        <v>40340</v>
      </c>
      <c r="EH21" s="2">
        <f>AE21*$CL$5</f>
        <v>1783.6000000000001</v>
      </c>
      <c r="EI21" s="19">
        <f>9100+EH21</f>
        <v>10883.6</v>
      </c>
      <c r="EJ21" s="20">
        <v>40340</v>
      </c>
      <c r="EK21" s="2">
        <f>(7881.38-2500)*19.6%</f>
        <v>1054.7504800000002</v>
      </c>
      <c r="EL21" s="19">
        <f>(7881.38-2500)+EK21</f>
        <v>6436.1304799999998</v>
      </c>
      <c r="EM21" s="20">
        <v>40308</v>
      </c>
      <c r="EN21" s="2">
        <f>850*$CL$5</f>
        <v>166.6</v>
      </c>
      <c r="EO21" s="19">
        <f>+EN21+850</f>
        <v>1016.6</v>
      </c>
      <c r="EP21" s="20">
        <v>40644</v>
      </c>
      <c r="EQ21" s="2">
        <v>1537.48</v>
      </c>
      <c r="ER21" s="19">
        <f>AW21+EQ21</f>
        <v>12084.48</v>
      </c>
    </row>
    <row r="22" spans="1:226">
      <c r="A22" s="5">
        <v>40269</v>
      </c>
      <c r="B22" s="6"/>
      <c r="C22" s="19">
        <v>7480</v>
      </c>
      <c r="D22" s="19">
        <v>15000</v>
      </c>
      <c r="E22" s="19">
        <v>15722.57</v>
      </c>
      <c r="F22" s="19">
        <v>12066.34</v>
      </c>
      <c r="G22" s="2"/>
      <c r="H22" s="2"/>
      <c r="I22" s="19">
        <f>10080+10080</f>
        <v>20160</v>
      </c>
      <c r="J22" s="19">
        <v>10735</v>
      </c>
      <c r="K22" s="6"/>
      <c r="L22" s="19">
        <v>4995</v>
      </c>
      <c r="M22" s="19">
        <v>20987.4</v>
      </c>
      <c r="N22" s="2"/>
      <c r="O22" s="19">
        <v>450</v>
      </c>
      <c r="P22" s="2"/>
      <c r="Q22" s="6"/>
      <c r="R22" s="19">
        <f>+-21723.18-15274.88-4879</f>
        <v>-41877.06</v>
      </c>
      <c r="S22" s="2"/>
      <c r="T22" s="2"/>
      <c r="U22" s="2"/>
      <c r="V22" s="2"/>
      <c r="W22" s="2"/>
      <c r="X22" s="19">
        <f>20419.56</f>
        <v>20419.560000000001</v>
      </c>
      <c r="Y22" s="6"/>
      <c r="Z22" s="19">
        <v>1150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9">
        <f>-7779.78-7779.79-42.62-799.73-11169.49-507.3-10373.05-56.78-749.15-2771.47-17628.61</f>
        <v>-59657.770000000004</v>
      </c>
      <c r="AM22" s="2"/>
      <c r="AN22" s="2"/>
      <c r="AO22" s="2"/>
      <c r="AP22" s="2"/>
      <c r="AQ22" s="19">
        <v>-161.46</v>
      </c>
      <c r="AR22" s="2"/>
      <c r="AS22" s="19">
        <v>-1461.68</v>
      </c>
      <c r="AT22" s="2"/>
      <c r="AU22" s="2"/>
      <c r="AV22" s="2"/>
      <c r="AW22" s="19">
        <f>50064+18423</f>
        <v>68487</v>
      </c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81" t="s">
        <v>250</v>
      </c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2"/>
      <c r="CH22" s="2">
        <f>21041.33-21041.33-27741.08-35830.05-72709.33-14649.3</f>
        <v>-150929.76</v>
      </c>
      <c r="CI22" s="2">
        <f>60326-B22-C22-D22-E22-F22-G22-H22-I22-J22-L22-M22-N22-O22-P22-Q22-R22-S22-T22-U22-V22-W22-X22-Y22-Z22-AA22-AB22-AC22-AD22-AE22-AF22-AG22-AH22-AI22-AJ22-AK22-AL22-AM22-AN22-AO22-AP22-AQ22-AR22-AS22-AT22-AU22-AV22-AW22-CG22-CH22</f>
        <v>116760.86000000002</v>
      </c>
      <c r="CJ22" s="6">
        <f t="shared" si="1"/>
        <v>60326</v>
      </c>
      <c r="CK22" s="20">
        <v>40340</v>
      </c>
      <c r="CL22" s="2">
        <f>10735*$CL$5</f>
        <v>2104.06</v>
      </c>
      <c r="CM22" s="19">
        <f>10735+CL22</f>
        <v>12839.06</v>
      </c>
      <c r="CN22" s="8">
        <v>40340</v>
      </c>
      <c r="CO22" s="2">
        <f>0</f>
        <v>0</v>
      </c>
      <c r="CP22" s="19">
        <f>E22</f>
        <v>15722.57</v>
      </c>
      <c r="CQ22" s="8">
        <v>40344</v>
      </c>
      <c r="CR22" s="6">
        <f>X22*$CL$5</f>
        <v>4002.2337600000005</v>
      </c>
      <c r="CS22" s="19">
        <f>X22+CR22</f>
        <v>24421.79376</v>
      </c>
      <c r="CT22" s="8">
        <v>40340</v>
      </c>
      <c r="CU22" s="2">
        <f>O22*$CL$5</f>
        <v>88.2</v>
      </c>
      <c r="CV22" s="19">
        <f>+O22+CU22</f>
        <v>538.20000000000005</v>
      </c>
      <c r="CW22" s="20">
        <v>40340</v>
      </c>
      <c r="CX22" s="2">
        <f>7480*$CL$5</f>
        <v>1466.0800000000002</v>
      </c>
      <c r="CY22" s="19">
        <f>7480+CX22</f>
        <v>8946.08</v>
      </c>
      <c r="CZ22" s="20">
        <v>40340</v>
      </c>
      <c r="DA22" s="2">
        <f>(10080+10080)*$CL$5</f>
        <v>3951.36</v>
      </c>
      <c r="DB22" s="19">
        <f>(10080+10080)+DA22</f>
        <v>24111.360000000001</v>
      </c>
      <c r="DC22" s="20">
        <v>40340</v>
      </c>
      <c r="DD22" s="2">
        <f>D22*$CL$5</f>
        <v>2940</v>
      </c>
      <c r="DE22" s="19">
        <f>+D22+DD22</f>
        <v>17940</v>
      </c>
      <c r="DF22" s="20">
        <v>40374</v>
      </c>
      <c r="DG22" s="2">
        <f>L22*$CL$5</f>
        <v>979.02</v>
      </c>
      <c r="DH22" s="19">
        <f>L22+DG22</f>
        <v>5974.02</v>
      </c>
      <c r="DI22" s="20">
        <v>40400</v>
      </c>
      <c r="DJ22" s="2">
        <f>0</f>
        <v>0</v>
      </c>
      <c r="DK22" s="19">
        <f>12066.34</f>
        <v>12066.34</v>
      </c>
      <c r="DL22" s="20">
        <v>40644</v>
      </c>
      <c r="DM22" s="2">
        <f>18423*$CL$5</f>
        <v>3610.9080000000004</v>
      </c>
      <c r="DN22" s="19">
        <f>18423+DM22</f>
        <v>22033.907999999999</v>
      </c>
      <c r="DO22" s="20">
        <v>40644</v>
      </c>
      <c r="DP22" s="2">
        <v>3106.47</v>
      </c>
      <c r="DQ22" s="19">
        <f>50064+DP22</f>
        <v>53170.47</v>
      </c>
      <c r="DX22" s="20"/>
      <c r="DY22" s="2"/>
      <c r="DZ22" s="6"/>
    </row>
    <row r="23" spans="1:226">
      <c r="A23" s="5">
        <v>40299</v>
      </c>
      <c r="B23" s="6"/>
      <c r="C23" s="19">
        <v>7920</v>
      </c>
      <c r="D23" s="6"/>
      <c r="E23" s="19">
        <v>15166</v>
      </c>
      <c r="F23" s="19">
        <v>3839.29</v>
      </c>
      <c r="G23" s="6"/>
      <c r="H23" s="6"/>
      <c r="I23" s="19">
        <f>9120+8640</f>
        <v>17760</v>
      </c>
      <c r="J23" s="19">
        <f>12040.24+385.53</f>
        <v>12425.77</v>
      </c>
      <c r="K23" s="6"/>
      <c r="L23" s="19">
        <f>1250+1250</f>
        <v>2500</v>
      </c>
      <c r="M23" s="2"/>
      <c r="N23" s="2"/>
      <c r="O23" s="19">
        <v>1550</v>
      </c>
      <c r="P23" s="2"/>
      <c r="Q23" s="6"/>
      <c r="R23" s="2"/>
      <c r="S23" s="2"/>
      <c r="T23" s="2"/>
      <c r="U23" s="2"/>
      <c r="V23" s="2"/>
      <c r="W23" s="2"/>
      <c r="X23" s="19">
        <f>560+20826.28+8550.44+1360+1150+8485.7</f>
        <v>40932.42</v>
      </c>
      <c r="Y23" s="6"/>
      <c r="Z23" s="19">
        <v>-1150</v>
      </c>
      <c r="AA23" s="2"/>
      <c r="AB23" s="19">
        <v>3050.82</v>
      </c>
      <c r="AC23" s="2"/>
      <c r="AD23" s="21">
        <f>2100+800+1120+495</f>
        <v>4515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19">
        <f>1461.68-226.5</f>
        <v>1235.18</v>
      </c>
      <c r="AT23" s="19">
        <v>7420.65</v>
      </c>
      <c r="AU23" s="19">
        <v>-565.28</v>
      </c>
      <c r="AV23" s="2"/>
      <c r="AW23" s="2"/>
      <c r="AX23" s="19">
        <f>3285.25+3639</f>
        <v>6924.25</v>
      </c>
      <c r="AY23" s="19">
        <v>2430</v>
      </c>
      <c r="AZ23" s="19">
        <v>942.8</v>
      </c>
      <c r="BA23" s="19">
        <f>3738.49-3738.49+2022.4+3470.88+13883.51</f>
        <v>19376.79</v>
      </c>
      <c r="BB23" s="19">
        <f>850+4884+1907</f>
        <v>7641</v>
      </c>
      <c r="BC23" s="19">
        <v>3740</v>
      </c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>
        <f>-99261.76+11213.2+188592.76</f>
        <v>100544.20000000001</v>
      </c>
      <c r="CI23" s="2">
        <f>60326+150000-B23-C23-D23-E23-F23-G23-H23-I23-J23-L23-M23-N23-O23-P23-Q23-R23-S23-T23-U23-V23-W23-X23-Y23-Z23-AA23-AB23-AC23-AD23-AE23-AF23-AG23-AH23-AI23-AJ23-AK23-AL23-AM23-AN23-AO23-AP23-AQ23-AR23-AS23-AT23-AU23-AV23-AW23-AX23-AY23-AZ23-BA23-BB23-BC23-CG23-CH23</f>
        <v>-47872.890000000007</v>
      </c>
      <c r="CJ23" s="6">
        <f t="shared" si="1"/>
        <v>210326</v>
      </c>
      <c r="CK23" s="20">
        <v>40283</v>
      </c>
      <c r="CL23" s="6">
        <f>-226.5*$CL$5</f>
        <v>-44.393999999999998</v>
      </c>
      <c r="CM23" s="19">
        <f>-226.5+CL23</f>
        <v>-270.89400000000001</v>
      </c>
      <c r="CN23" s="8">
        <v>40344</v>
      </c>
      <c r="CO23" s="6">
        <f>495*$CL$5</f>
        <v>97.02000000000001</v>
      </c>
      <c r="CP23" s="19">
        <f>495+CO23</f>
        <v>592.02</v>
      </c>
      <c r="CQ23" s="8">
        <v>40344</v>
      </c>
      <c r="CR23" s="6">
        <f>1250*$CL$5</f>
        <v>245</v>
      </c>
      <c r="CS23" s="19">
        <f>1250+CR23</f>
        <v>1495</v>
      </c>
      <c r="CT23" s="8">
        <v>40340</v>
      </c>
      <c r="CU23" s="6">
        <f>385.53*$CL$5</f>
        <v>75.563879999999997</v>
      </c>
      <c r="CV23" s="19">
        <f>385.53+CU23</f>
        <v>461.09387999999996</v>
      </c>
      <c r="CW23" s="20">
        <v>40374</v>
      </c>
      <c r="CX23">
        <f>BC23*$CL$5</f>
        <v>733.04000000000008</v>
      </c>
      <c r="CY23" s="19">
        <f>7480+CX23</f>
        <v>8213.0400000000009</v>
      </c>
      <c r="CZ23" s="20">
        <v>40374</v>
      </c>
      <c r="DA23" s="2">
        <f>1461.68*$CL$5</f>
        <v>286.48928000000001</v>
      </c>
      <c r="DB23" s="19">
        <f>1461.68+DA23</f>
        <v>1748.1692800000001</v>
      </c>
      <c r="DC23" s="20">
        <v>40374</v>
      </c>
      <c r="DD23" s="2">
        <f>2430*$CL$5</f>
        <v>476.28000000000003</v>
      </c>
      <c r="DE23" s="19">
        <f>2430+DD23</f>
        <v>2906.28</v>
      </c>
      <c r="DF23" s="20">
        <v>40374</v>
      </c>
      <c r="DG23" s="2">
        <f>4884*$CL$5</f>
        <v>957.26400000000001</v>
      </c>
      <c r="DH23" s="19">
        <f>4884+DG23</f>
        <v>5841.2640000000001</v>
      </c>
      <c r="DI23" s="20">
        <v>40374</v>
      </c>
      <c r="DJ23" s="2">
        <f>850*$CL$5</f>
        <v>166.6</v>
      </c>
      <c r="DK23" s="19">
        <f>850+DJ23</f>
        <v>1016.6</v>
      </c>
      <c r="DL23" s="20">
        <v>40374</v>
      </c>
      <c r="DM23" s="2">
        <f>3285.25*$CL$5</f>
        <v>643.90899999999999</v>
      </c>
      <c r="DN23" s="19">
        <f>3285.25+DM23</f>
        <v>3929.1590000000001</v>
      </c>
      <c r="DO23" s="20">
        <v>40374</v>
      </c>
      <c r="DP23" s="2">
        <f>1120*$CL$5</f>
        <v>219.52</v>
      </c>
      <c r="DQ23" s="19">
        <f>1120+DP23</f>
        <v>1339.52</v>
      </c>
      <c r="DR23" s="20">
        <v>40374</v>
      </c>
      <c r="DS23" s="2">
        <f>+AB23*$CL$5</f>
        <v>597.96072000000004</v>
      </c>
      <c r="DT23" s="19">
        <f>+AB23+DS23</f>
        <v>3648.7807200000002</v>
      </c>
      <c r="DU23" s="20">
        <v>40381</v>
      </c>
      <c r="DV23" s="2">
        <f>1907*$CL$5</f>
        <v>373.77199999999999</v>
      </c>
      <c r="DW23" s="19">
        <f>1907+DV23</f>
        <v>2280.7719999999999</v>
      </c>
      <c r="DX23" s="20">
        <v>40400</v>
      </c>
      <c r="DY23" s="2">
        <f>8485.7*CL5</f>
        <v>1663.1972000000003</v>
      </c>
      <c r="DZ23" s="19">
        <f>8485.7+DY23</f>
        <v>10148.897200000001</v>
      </c>
      <c r="EA23" s="20">
        <v>40400</v>
      </c>
      <c r="EB23" s="2">
        <f>(3738.49-3738.49+2022.4+3470.88+13883.51)*$CL$5</f>
        <v>3797.8508400000005</v>
      </c>
      <c r="EC23" s="19">
        <f>(3738.49-3738.49+2022.4+3470.88+13883.51)+EB23</f>
        <v>23174.64084</v>
      </c>
      <c r="ED23" s="20">
        <v>40400</v>
      </c>
      <c r="EE23" s="2">
        <f>3639*$CL$5</f>
        <v>713.24400000000003</v>
      </c>
      <c r="EF23" s="19">
        <f>3639+EE23</f>
        <v>4352.2439999999997</v>
      </c>
      <c r="EG23" s="20">
        <v>40400</v>
      </c>
      <c r="EH23" s="2">
        <f>1550*$CL$5</f>
        <v>303.8</v>
      </c>
      <c r="EI23" s="19">
        <f>1550+EH23</f>
        <v>1853.8</v>
      </c>
      <c r="EJ23" s="20">
        <v>40400</v>
      </c>
      <c r="EK23" s="2">
        <f>7920*$CL$5</f>
        <v>1552.3200000000002</v>
      </c>
      <c r="EL23" s="19">
        <f>7920+EK23</f>
        <v>9472.32</v>
      </c>
      <c r="EM23" s="20">
        <v>40400</v>
      </c>
      <c r="EN23" s="2">
        <f>(9120+8640)*$CL$5</f>
        <v>3480.96</v>
      </c>
      <c r="EO23" s="19">
        <f>(9120+8640)+EN23</f>
        <v>21240.959999999999</v>
      </c>
      <c r="EP23" s="20">
        <v>40400</v>
      </c>
      <c r="EQ23" s="2">
        <f>942.8*$CL$5</f>
        <v>184.78880000000001</v>
      </c>
      <c r="ER23" s="19">
        <f>942.8+EQ23</f>
        <v>1127.5888</v>
      </c>
      <c r="ES23" s="20">
        <v>40400</v>
      </c>
      <c r="ET23" s="2">
        <f>1150*$CL$5</f>
        <v>225.4</v>
      </c>
      <c r="EU23" s="19">
        <f>1150+ET23</f>
        <v>1375.4</v>
      </c>
      <c r="EV23" s="20">
        <v>40400</v>
      </c>
      <c r="EW23" s="2">
        <f>1360*$CL$5</f>
        <v>266.56</v>
      </c>
      <c r="EX23" s="19">
        <f>1360+EW23</f>
        <v>1626.56</v>
      </c>
      <c r="EY23" s="20">
        <v>40400</v>
      </c>
      <c r="EZ23" s="2">
        <f>8550.44*$CL$5</f>
        <v>1675.8862400000003</v>
      </c>
      <c r="FA23" s="19">
        <f>8550.44+EZ23</f>
        <v>10226.32624</v>
      </c>
      <c r="FB23" s="20">
        <v>40400</v>
      </c>
      <c r="FC23" s="2">
        <f>20826.28*$CL$5</f>
        <v>4081.9508799999999</v>
      </c>
      <c r="FD23" s="19">
        <f>20826.28+FC23</f>
        <v>24908.230879999999</v>
      </c>
      <c r="FE23" s="20">
        <v>40400</v>
      </c>
      <c r="FF23" s="2">
        <f>1250*$CL$5</f>
        <v>245</v>
      </c>
      <c r="FG23" s="19">
        <f>1225+FF23</f>
        <v>1470</v>
      </c>
      <c r="FH23" s="20">
        <v>40400</v>
      </c>
      <c r="FI23" s="2">
        <f>7420.65*$CL$5</f>
        <v>1454.4474</v>
      </c>
      <c r="FJ23" s="19">
        <f>7420.65+FI23</f>
        <v>8875.0973999999987</v>
      </c>
      <c r="FK23" s="20">
        <v>40400</v>
      </c>
      <c r="FL23" s="2">
        <f>12040.24*$CL$5</f>
        <v>2359.8870400000001</v>
      </c>
      <c r="FM23" s="19">
        <f>12040.24+FL23</f>
        <v>14400.127039999999</v>
      </c>
      <c r="FN23" s="20">
        <v>40618</v>
      </c>
      <c r="FO23" s="2">
        <f>560*$CL$5</f>
        <v>109.76</v>
      </c>
      <c r="FP23" s="19">
        <f>560+FO23</f>
        <v>669.76</v>
      </c>
    </row>
    <row r="24" spans="1:226">
      <c r="A24" s="5">
        <v>40330</v>
      </c>
      <c r="B24" s="6"/>
      <c r="C24" s="19">
        <v>9240</v>
      </c>
      <c r="D24" s="2"/>
      <c r="E24" s="19">
        <v>9802.59</v>
      </c>
      <c r="F24" s="2"/>
      <c r="G24" s="2"/>
      <c r="H24" s="2"/>
      <c r="I24" s="19">
        <f>14305+10560</f>
        <v>24865</v>
      </c>
      <c r="J24" s="19">
        <v>13968.55</v>
      </c>
      <c r="K24" s="6"/>
      <c r="L24" s="2"/>
      <c r="M24" s="2"/>
      <c r="N24" s="2"/>
      <c r="O24" s="2"/>
      <c r="P24" s="2"/>
      <c r="Q24" s="6"/>
      <c r="R24" s="2"/>
      <c r="S24" s="2"/>
      <c r="T24" s="2"/>
      <c r="U24" s="2"/>
      <c r="V24" s="2"/>
      <c r="W24" s="2"/>
      <c r="X24" s="2"/>
      <c r="Y24" s="6"/>
      <c r="Z24" s="2"/>
      <c r="AA24" s="2"/>
      <c r="AB24" s="2"/>
      <c r="AC24" s="2"/>
      <c r="AD24" s="2"/>
      <c r="AE24" s="2"/>
      <c r="AF24" s="2"/>
      <c r="AG24" s="19">
        <v>765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19">
        <v>1400</v>
      </c>
      <c r="AY24" s="19">
        <v>2430</v>
      </c>
      <c r="AZ24" s="2"/>
      <c r="BA24" s="19">
        <v>3064.27</v>
      </c>
      <c r="BB24" s="2"/>
      <c r="BC24" s="2"/>
      <c r="BD24" s="19">
        <f>840+15997.46+21600</f>
        <v>38437.46</v>
      </c>
      <c r="BE24" s="19">
        <f>320+360</f>
        <v>680</v>
      </c>
      <c r="BF24" s="19">
        <v>4566</v>
      </c>
      <c r="BG24" s="19">
        <v>3196.78</v>
      </c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>
        <f>336045.47-C24-D24-E24-F24-G24-H24-I24-J24-L24-M24-N24-O24-P24-Q24-R24-S24-T24-U24-V24-W24-X24-Y24-Z24-AA24-AB24-AC24-AD24-AE24-AF24-AG24-AH24-AI24-AJ24-AK24-AL24-AM24-AN24-AO24-AP24-AQ24-AR24-AS24-AT24-AU24-AV24-AW24-AX24-AY24-AZ24-BA24-BB24-BC24-BD24-BE24-BF24-BG24</f>
        <v>223629.81999999995</v>
      </c>
      <c r="CJ24" s="6">
        <f t="shared" si="1"/>
        <v>336045.47</v>
      </c>
      <c r="CK24" s="20">
        <v>40372</v>
      </c>
      <c r="CL24" s="6">
        <f>1369.8*$CL$5</f>
        <v>268.48079999999999</v>
      </c>
      <c r="CM24" s="19">
        <f>1369.8+CL24</f>
        <v>1638.2808</v>
      </c>
      <c r="CN24" s="8">
        <v>40400</v>
      </c>
      <c r="CO24" s="6">
        <f>(320+360)*$CL$5</f>
        <v>133.28</v>
      </c>
      <c r="CP24" s="19">
        <f>(320+360)+CO24</f>
        <v>813.28</v>
      </c>
      <c r="CQ24" s="8">
        <v>40400</v>
      </c>
      <c r="CR24" s="6">
        <f>AY24*$CL$5</f>
        <v>476.28000000000003</v>
      </c>
      <c r="CS24" s="19">
        <f>AY24+CR24</f>
        <v>2906.28</v>
      </c>
      <c r="CT24" s="8">
        <v>40400</v>
      </c>
      <c r="CU24" s="6">
        <f>1400*$CL$5</f>
        <v>274.40000000000003</v>
      </c>
      <c r="CV24" s="19">
        <f>1400+CU24</f>
        <v>1674.4</v>
      </c>
      <c r="CW24" s="20">
        <v>40400</v>
      </c>
      <c r="CX24">
        <f>9240*$CL$5</f>
        <v>1811.04</v>
      </c>
      <c r="CY24" s="19">
        <f>9240+CX24</f>
        <v>11051.04</v>
      </c>
      <c r="CZ24" s="20">
        <v>40400</v>
      </c>
      <c r="DA24" s="2">
        <f>(14305+10560)*$CL$5</f>
        <v>4873.54</v>
      </c>
      <c r="DB24" s="19">
        <f>(14305+10560)+DA24</f>
        <v>29738.54</v>
      </c>
      <c r="DC24" s="20">
        <v>40400</v>
      </c>
      <c r="DD24" s="2">
        <f>3196.78*$CL$5</f>
        <v>626.56888000000004</v>
      </c>
      <c r="DE24" s="19">
        <f>3196.78+DD24</f>
        <v>3823.3488800000005</v>
      </c>
      <c r="DF24" s="20">
        <v>40400</v>
      </c>
      <c r="DG24" s="2">
        <f>13968.55*$CL$5</f>
        <v>2737.8357999999998</v>
      </c>
      <c r="DH24" s="19">
        <f>13968.55+DG24</f>
        <v>16706.3858</v>
      </c>
      <c r="DI24" s="20">
        <v>40437</v>
      </c>
      <c r="DJ24" s="2">
        <f>3196.2*$CL$5</f>
        <v>626.45519999999999</v>
      </c>
      <c r="DK24" s="19">
        <f>3196.2+DJ24</f>
        <v>3822.6551999999997</v>
      </c>
      <c r="DL24" s="20">
        <v>40437</v>
      </c>
      <c r="DM24" s="2">
        <f>15997.46*$CL$5</f>
        <v>3135.50216</v>
      </c>
      <c r="DN24" s="19">
        <f>15997.46+DM24</f>
        <v>19132.962159999999</v>
      </c>
      <c r="DO24" s="20">
        <v>40469</v>
      </c>
      <c r="DP24" s="2">
        <f>21600*CL5</f>
        <v>4233.6000000000004</v>
      </c>
      <c r="DQ24" s="19">
        <f>DP24+21600</f>
        <v>25833.599999999999</v>
      </c>
      <c r="DX24" s="20"/>
      <c r="DY24" s="2"/>
      <c r="DZ24" s="6"/>
      <c r="EA24" s="20">
        <v>40400</v>
      </c>
      <c r="EB24" s="2">
        <f>BA24*$CL$5</f>
        <v>600.59692000000007</v>
      </c>
      <c r="EC24" s="19">
        <f>BA24+EB24</f>
        <v>3664.8669199999999</v>
      </c>
    </row>
    <row r="25" spans="1:226">
      <c r="A25" s="5">
        <v>40360</v>
      </c>
      <c r="B25" s="6"/>
      <c r="C25" s="19">
        <v>4840</v>
      </c>
      <c r="D25" s="2"/>
      <c r="E25" s="19">
        <v>21601</v>
      </c>
      <c r="F25" s="2"/>
      <c r="G25" s="2"/>
      <c r="H25" s="2"/>
      <c r="I25" s="19">
        <v>5280</v>
      </c>
      <c r="J25" s="19">
        <v>10338.57</v>
      </c>
      <c r="K25" s="6"/>
      <c r="L25" s="19">
        <f>7600+4355</f>
        <v>11955</v>
      </c>
      <c r="M25" s="2"/>
      <c r="N25" s="19">
        <f>7475+7150</f>
        <v>14625</v>
      </c>
      <c r="O25" s="2"/>
      <c r="P25" s="2"/>
      <c r="Q25" s="6"/>
      <c r="R25" s="2"/>
      <c r="S25" s="2"/>
      <c r="T25" s="2"/>
      <c r="U25" s="2"/>
      <c r="V25" s="2"/>
      <c r="W25" s="2"/>
      <c r="X25" s="19">
        <f>920+36294</f>
        <v>37214</v>
      </c>
      <c r="Y25" s="6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19">
        <v>130240</v>
      </c>
      <c r="AZ25" s="2"/>
      <c r="BA25" s="19">
        <v>10000</v>
      </c>
      <c r="BB25" s="19">
        <f>90+67.5</f>
        <v>157.5</v>
      </c>
      <c r="BC25" s="2"/>
      <c r="BD25" s="19">
        <f>-840+2800+26000+9598.48</f>
        <v>37558.479999999996</v>
      </c>
      <c r="BE25" s="2"/>
      <c r="BF25" s="2"/>
      <c r="BG25" s="2"/>
      <c r="BH25" s="19">
        <v>9443.7000000000007</v>
      </c>
      <c r="BI25" s="19">
        <f>150+580</f>
        <v>730</v>
      </c>
      <c r="BJ25" s="19">
        <v>1098</v>
      </c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>
        <f>144044.05-C25-D25-E25-F25-G25-H25-I25-J25-L25-M25-N25-O25-P25-Q25-R25-S25-T25-U25-V25-W25-X25-Y25-Z25-AA25-AB25-AC25-AD25-AE25-AF25-AG25-AH25-AI25-AJ25-AK25-AL25-AM25-AN25-AO25-AP25-AQ25-AR25-AS25-AT25-AU25-AV25-AW25-AX25-AY25-AZ25-BA25-BB25-BC25-BD25-BE25-BF25-BG25-BH25-BI25-BJ25</f>
        <v>-151037.20000000001</v>
      </c>
      <c r="CJ25" s="6">
        <f t="shared" ref="CJ25:CJ34" si="2">SUM(B25:CI25)</f>
        <v>144044.04999999999</v>
      </c>
      <c r="CK25" s="20">
        <v>40386</v>
      </c>
      <c r="CL25" s="6">
        <v>0</v>
      </c>
      <c r="CM25" s="19">
        <f>+BH25</f>
        <v>9443.7000000000007</v>
      </c>
      <c r="CN25" s="8">
        <v>40417</v>
      </c>
      <c r="CO25" s="6">
        <f>+AY25*$CL$5</f>
        <v>25527.040000000001</v>
      </c>
      <c r="CP25" s="19">
        <f>+AY25+CO25</f>
        <v>155767.04000000001</v>
      </c>
      <c r="CQ25" s="8">
        <v>40437</v>
      </c>
      <c r="CR25" s="9">
        <v>0</v>
      </c>
      <c r="CS25" s="19">
        <f>+E25+CR25</f>
        <v>21601</v>
      </c>
      <c r="CT25" s="8">
        <v>40437</v>
      </c>
      <c r="CU25" s="6">
        <f>150*$CL$5</f>
        <v>29.400000000000002</v>
      </c>
      <c r="CV25" s="19">
        <f>150+CU25</f>
        <v>179.4</v>
      </c>
      <c r="CW25" s="20">
        <v>40437</v>
      </c>
      <c r="CX25" s="6">
        <f>580*$CL$5</f>
        <v>113.68</v>
      </c>
      <c r="CY25" s="19">
        <f>580+CX25</f>
        <v>693.68000000000006</v>
      </c>
      <c r="CZ25" s="20">
        <v>40437</v>
      </c>
      <c r="DA25" s="2">
        <f>+BA25*$CL$5</f>
        <v>1960</v>
      </c>
      <c r="DB25" s="19">
        <f>+BA25+DA25</f>
        <v>11960</v>
      </c>
      <c r="DC25" s="20">
        <v>40437</v>
      </c>
      <c r="DD25" s="2">
        <f>7600*$CL$5</f>
        <v>1489.6000000000001</v>
      </c>
      <c r="DE25" s="19">
        <f>7600+DD25</f>
        <v>9089.6</v>
      </c>
      <c r="DF25" s="20">
        <v>40437</v>
      </c>
      <c r="DG25" s="2">
        <f>7475*$CL$5</f>
        <v>1465.1000000000001</v>
      </c>
      <c r="DH25" s="19">
        <f>7475+DG25</f>
        <v>8940.1</v>
      </c>
      <c r="DI25" s="20">
        <v>40437</v>
      </c>
      <c r="DJ25" s="2">
        <f>+J25*$CL$5</f>
        <v>2026.3597199999999</v>
      </c>
      <c r="DK25" s="19">
        <f>+J25+DJ25</f>
        <v>12364.92972</v>
      </c>
      <c r="DL25" s="20">
        <v>40437</v>
      </c>
      <c r="DM25" s="2">
        <f>(920+36294)*$CL$5</f>
        <v>7293.9440000000004</v>
      </c>
      <c r="DN25" s="19">
        <f>(920+36294)+DM25</f>
        <v>44507.944000000003</v>
      </c>
      <c r="DO25" s="20">
        <v>40437</v>
      </c>
      <c r="DP25" s="2">
        <f>(90+67.5)*$CL$5</f>
        <v>30.87</v>
      </c>
      <c r="DQ25" s="19">
        <f>(90+67.5)+DP25</f>
        <v>188.37</v>
      </c>
      <c r="DR25" s="20">
        <v>40437</v>
      </c>
      <c r="DS25" s="2">
        <f>4355*$CL$5</f>
        <v>853.58</v>
      </c>
      <c r="DT25" s="19">
        <f>4355+DS25</f>
        <v>5208.58</v>
      </c>
      <c r="DU25" s="20">
        <v>40437</v>
      </c>
      <c r="DV25" s="2">
        <f>+C25*$CL$5</f>
        <v>948.64</v>
      </c>
      <c r="DW25" s="19">
        <f>+C25+DV25</f>
        <v>5788.64</v>
      </c>
      <c r="DX25" s="20">
        <v>40437</v>
      </c>
      <c r="DY25" s="2">
        <f>+I25*$CL$5</f>
        <v>1034.8800000000001</v>
      </c>
      <c r="DZ25" s="19">
        <f>+I25+DY25</f>
        <v>6314.88</v>
      </c>
      <c r="EA25" s="20">
        <v>40437</v>
      </c>
      <c r="EB25" s="2">
        <f>7150*$CL$5</f>
        <v>1401.4</v>
      </c>
      <c r="EC25" s="19">
        <f>7150+EB25</f>
        <v>8551.4</v>
      </c>
      <c r="ED25" s="20">
        <v>40437</v>
      </c>
      <c r="EE25" s="2">
        <f>9598.48*$CL$5</f>
        <v>1881.3020799999999</v>
      </c>
      <c r="EF25" s="19">
        <f>9598.48+EE25</f>
        <v>11479.782079999999</v>
      </c>
      <c r="EG25" s="20">
        <v>40490</v>
      </c>
      <c r="EH25" s="2">
        <f>+BJ25*$CL$5</f>
        <v>215.208</v>
      </c>
      <c r="EI25" s="19">
        <f>+BJ25+EH25</f>
        <v>1313.2080000000001</v>
      </c>
    </row>
    <row r="26" spans="1:226">
      <c r="A26" s="5">
        <v>40391</v>
      </c>
      <c r="B26" s="6"/>
      <c r="C26" s="2"/>
      <c r="D26" s="2"/>
      <c r="E26" s="19">
        <v>17311</v>
      </c>
      <c r="F26" s="2"/>
      <c r="G26" s="2"/>
      <c r="H26" s="2"/>
      <c r="I26" s="19">
        <f>14765+5280</f>
        <v>20045</v>
      </c>
      <c r="J26" s="19">
        <v>13477.63</v>
      </c>
      <c r="K26" s="6"/>
      <c r="L26" s="2"/>
      <c r="M26" s="2"/>
      <c r="N26" s="2"/>
      <c r="O26" s="2"/>
      <c r="P26" s="2"/>
      <c r="Q26" s="6"/>
      <c r="R26" s="2"/>
      <c r="S26" s="2"/>
      <c r="T26" s="2"/>
      <c r="U26" s="2"/>
      <c r="V26" s="2"/>
      <c r="W26" s="2"/>
      <c r="X26" s="2"/>
      <c r="Y26" s="6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19">
        <v>40000</v>
      </c>
      <c r="AR26" s="2"/>
      <c r="AS26" s="2">
        <v>43.22</v>
      </c>
      <c r="AT26" s="2"/>
      <c r="AU26" s="2"/>
      <c r="AV26" s="2"/>
      <c r="AW26" s="19">
        <f>13942</f>
        <v>13942</v>
      </c>
      <c r="AX26" s="2"/>
      <c r="AY26" s="2"/>
      <c r="AZ26" s="19">
        <f>1905.76-1905.76+381.92+421.92+1123.52+550.32</f>
        <v>2477.6800000000003</v>
      </c>
      <c r="BA26" s="2"/>
      <c r="BB26" s="19">
        <f>1117.52</f>
        <v>1117.52</v>
      </c>
      <c r="BC26" s="2"/>
      <c r="BD26" s="19">
        <f>-26000-2800+6500+5200+1300</f>
        <v>-15800</v>
      </c>
      <c r="BE26" s="19">
        <v>2368</v>
      </c>
      <c r="BF26" s="2"/>
      <c r="BG26" s="2"/>
      <c r="BH26" s="2"/>
      <c r="BI26" s="19">
        <v>2900</v>
      </c>
      <c r="BJ26" s="2"/>
      <c r="BK26" s="19">
        <f>1474.83+5576.85</f>
        <v>7051.68</v>
      </c>
      <c r="BL26" s="19">
        <v>4649.6000000000004</v>
      </c>
      <c r="BM26" s="19">
        <v>300</v>
      </c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>
        <f>97477.98-C26-D26-E26-F26-G26-H26-I26-J26-L26-M26-N26-O26-P26-Q26-R26-S26-T26-U26-V26-W26-X26-Y26-Z26-AA26-AB26-AC26-AD26-AE26-AF26-AG26-AH26-AI26-AJ26-AK26-AL26-AM26-AN26-AO26-AP26-AQ26-AR26-AS26-AT26-AU26-AV26-AW26-AX26-AY26-AZ26-BA26-BB26-BC26-BD26-BE26-BF26-BG26-BH26-BI26-BJ26-BK26-BL26-BM26</f>
        <v>-12405.350000000004</v>
      </c>
      <c r="CJ26" s="6">
        <f t="shared" si="2"/>
        <v>97477.98000000001</v>
      </c>
      <c r="CK26" s="20">
        <v>40437</v>
      </c>
      <c r="CL26" s="6">
        <f>1117.52*$CL$5</f>
        <v>219.03391999999999</v>
      </c>
      <c r="CM26" s="19">
        <f>1117.52+CL26</f>
        <v>1336.5539200000001</v>
      </c>
      <c r="CN26" s="8">
        <v>40437</v>
      </c>
      <c r="CO26" s="6">
        <f>BI26*$CL$5</f>
        <v>568.4</v>
      </c>
      <c r="CP26" s="19">
        <f>+BI26+CO26</f>
        <v>3468.4</v>
      </c>
      <c r="CQ26" s="8">
        <v>40469</v>
      </c>
      <c r="CR26" s="9">
        <v>0</v>
      </c>
      <c r="CS26" s="19">
        <f>+E26+CR26</f>
        <v>17311</v>
      </c>
      <c r="CT26" s="8">
        <v>40472</v>
      </c>
      <c r="CU26" s="9">
        <v>0</v>
      </c>
      <c r="CV26" s="19">
        <f>BK26+CU26</f>
        <v>7051.68</v>
      </c>
      <c r="CW26" s="20">
        <v>40469</v>
      </c>
      <c r="CX26" s="6">
        <f>BE26*$CL$5</f>
        <v>464.12800000000004</v>
      </c>
      <c r="CY26" s="19">
        <f>CX26+BE26</f>
        <v>2832.1280000000002</v>
      </c>
      <c r="CZ26" s="20">
        <v>40469</v>
      </c>
      <c r="DA26" s="2">
        <f>BL26*$CL$5</f>
        <v>911.3216000000001</v>
      </c>
      <c r="DB26" s="19">
        <f>DA26+BL26</f>
        <v>5560.9216000000006</v>
      </c>
      <c r="DC26" s="20">
        <v>40469</v>
      </c>
      <c r="DD26" s="2">
        <f>I26*$CL$5</f>
        <v>3928.82</v>
      </c>
      <c r="DE26" s="19">
        <f>DD26+I26</f>
        <v>23973.82</v>
      </c>
      <c r="DF26" s="20">
        <v>40469</v>
      </c>
      <c r="DG26" s="2">
        <f>BM26*$CL$5</f>
        <v>58.800000000000004</v>
      </c>
      <c r="DH26" s="19">
        <f>DG26+BM26</f>
        <v>358.8</v>
      </c>
      <c r="DI26" s="20">
        <v>40469</v>
      </c>
      <c r="DJ26" s="2">
        <f>+AZ26*$CL$5</f>
        <v>485.62528000000009</v>
      </c>
      <c r="DK26" s="19">
        <f>AZ26+DJ26</f>
        <v>2963.3052800000005</v>
      </c>
      <c r="DL26" s="20">
        <v>40469</v>
      </c>
      <c r="DM26" s="2">
        <f>40000*$CL$5</f>
        <v>7840</v>
      </c>
      <c r="DN26" s="19">
        <f>DM26+AQ26</f>
        <v>47840</v>
      </c>
      <c r="DO26" s="20">
        <v>40469</v>
      </c>
      <c r="DP26" s="2">
        <f>J26*$CL$5</f>
        <v>2641.6154799999999</v>
      </c>
      <c r="DQ26" s="19">
        <f>DP26+J26</f>
        <v>16119.24548</v>
      </c>
      <c r="DR26" s="20">
        <v>40500</v>
      </c>
      <c r="DS26" s="2">
        <f>1300*$CL$5</f>
        <v>254.8</v>
      </c>
      <c r="DT26" s="19">
        <f>1300+DS26</f>
        <v>1554.8</v>
      </c>
      <c r="DU26" s="20">
        <v>40518</v>
      </c>
      <c r="DV26" s="2">
        <f>6500*$CL$5</f>
        <v>1274</v>
      </c>
      <c r="DW26" s="19">
        <f>6500+DV26</f>
        <v>7774</v>
      </c>
      <c r="DX26" s="20">
        <v>40518</v>
      </c>
      <c r="DY26" s="2">
        <f>5200*$CL$5</f>
        <v>1019.2</v>
      </c>
      <c r="DZ26" s="19">
        <f>5200+DY26</f>
        <v>6219.2</v>
      </c>
      <c r="EA26" s="20">
        <v>40553</v>
      </c>
      <c r="EB26" s="2">
        <f>(10185*5.5%)+(3757*19.6%)</f>
        <v>1296.547</v>
      </c>
      <c r="EC26" s="19">
        <f>13942+EB26</f>
        <v>15238.547</v>
      </c>
    </row>
    <row r="27" spans="1:226">
      <c r="A27" s="5">
        <v>40422</v>
      </c>
      <c r="B27" s="6"/>
      <c r="C27" s="2"/>
      <c r="D27" s="2"/>
      <c r="E27" s="19">
        <v>13177.95</v>
      </c>
      <c r="F27" s="2"/>
      <c r="G27" s="2"/>
      <c r="H27" s="2"/>
      <c r="I27" s="19">
        <f>9120+13400</f>
        <v>22520</v>
      </c>
      <c r="J27" s="19">
        <f>14563.51</f>
        <v>14563.51</v>
      </c>
      <c r="K27" s="6"/>
      <c r="L27" s="2"/>
      <c r="M27" s="19">
        <f>400+800</f>
        <v>1200</v>
      </c>
      <c r="N27" s="2"/>
      <c r="O27" s="2"/>
      <c r="P27" s="2"/>
      <c r="Q27" s="6"/>
      <c r="R27" s="19">
        <v>-979</v>
      </c>
      <c r="S27" s="2"/>
      <c r="T27" s="2"/>
      <c r="U27" s="2"/>
      <c r="V27" s="2"/>
      <c r="W27" s="2"/>
      <c r="X27" s="19">
        <v>19817.04</v>
      </c>
      <c r="Y27" s="6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19">
        <f>3000+1395+765+3300+9000+1485+1358.5+1057.5+1147.5</f>
        <v>22508.5</v>
      </c>
      <c r="BC27" s="2"/>
      <c r="BD27" s="2"/>
      <c r="BE27" s="2"/>
      <c r="BF27" s="2"/>
      <c r="BG27" s="2"/>
      <c r="BH27" s="2"/>
      <c r="BI27" s="19">
        <v>2362</v>
      </c>
      <c r="BJ27" s="2"/>
      <c r="BK27" s="19">
        <f>5805</f>
        <v>5805</v>
      </c>
      <c r="BL27" s="2"/>
      <c r="BM27" s="2"/>
      <c r="BN27" s="19">
        <v>6773</v>
      </c>
      <c r="BO27" s="19">
        <v>7373.63</v>
      </c>
      <c r="BP27" s="19">
        <v>200</v>
      </c>
      <c r="BQ27" s="19">
        <f>1790+980+350</f>
        <v>3120</v>
      </c>
      <c r="BR27" s="19">
        <v>697.5</v>
      </c>
      <c r="BS27" s="19">
        <f>8091.2+4744.6</f>
        <v>12835.8</v>
      </c>
      <c r="BT27" s="19">
        <v>3462</v>
      </c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>
        <f>97477.98-C27-D27-E27-F27-G27-H27-I27-J27-L27-M27-N27-O27-P27-Q27-R27-S27-T27-U27-V27-W27-X27-Y27-Z27-AA27-AB27-AC27-AD27-AE27-AF27-AG27-AH27-AI27-AJ27-AK27-AL27-AM27-AN27-AO27-AP27-AQ27-AR27-AS27-AT27-AU27-AV27-AW27-AX27-AY27-AZ27-BA27-BB27-BC27-BD27-BE27-BF27-BG27-BH27-BI27-BJ27-BK27-BL27-BM27-BN27-BO27-BP27-BQ27-BR27-BS27-BT27</f>
        <v>-37958.950000000004</v>
      </c>
      <c r="CJ27" s="6">
        <f t="shared" si="2"/>
        <v>97477.979999999981</v>
      </c>
      <c r="CK27" s="20">
        <v>40470</v>
      </c>
      <c r="CL27" s="6">
        <f>+X27*$CL$5</f>
        <v>3884.1398400000003</v>
      </c>
      <c r="CM27" s="19">
        <f>+CL27+X27</f>
        <v>23701.179840000001</v>
      </c>
      <c r="CN27" s="8">
        <v>40470</v>
      </c>
      <c r="CO27" s="6">
        <f>BN27*$CL$5</f>
        <v>1327.508</v>
      </c>
      <c r="CP27" s="19">
        <f>CO27+BN27</f>
        <v>8100.5079999999998</v>
      </c>
      <c r="CQ27" s="8">
        <v>40470</v>
      </c>
      <c r="CR27" s="6">
        <f>BP27*$CL$5</f>
        <v>39.200000000000003</v>
      </c>
      <c r="CS27" s="19">
        <f>CR27+BP27</f>
        <v>239.2</v>
      </c>
      <c r="CT27" s="8">
        <v>40470</v>
      </c>
      <c r="CU27" s="6">
        <f>BI27*$CL$5</f>
        <v>462.952</v>
      </c>
      <c r="CV27" s="19">
        <f>CU27+BI27</f>
        <v>2824.9520000000002</v>
      </c>
      <c r="CW27" s="8">
        <v>40470</v>
      </c>
      <c r="CX27" s="6">
        <f>BO27*$CL$5</f>
        <v>1445.2314800000001</v>
      </c>
      <c r="CY27" s="19">
        <f>CX27+BO27</f>
        <v>8818.8614799999996</v>
      </c>
      <c r="CZ27" s="20">
        <v>40470</v>
      </c>
      <c r="DA27" s="2">
        <f>(3300+765+1395+1485+3000)*$CL$5</f>
        <v>1949.22</v>
      </c>
      <c r="DB27" s="19">
        <f>(3300+765+1395+1485+3000)+DA27</f>
        <v>11894.22</v>
      </c>
      <c r="DC27" s="20">
        <v>40470</v>
      </c>
      <c r="DD27" s="6">
        <f>BQ27*$CL$5</f>
        <v>611.52</v>
      </c>
      <c r="DE27" s="19">
        <f>DD27+BQ27</f>
        <v>3731.52</v>
      </c>
      <c r="DF27" s="20">
        <v>40470</v>
      </c>
      <c r="DG27" s="6">
        <f>M27*$CL$5</f>
        <v>235.20000000000002</v>
      </c>
      <c r="DH27" s="19">
        <f>DG27+M27</f>
        <v>1435.2</v>
      </c>
      <c r="DI27" s="20">
        <v>40504</v>
      </c>
      <c r="DJ27" s="2">
        <v>0</v>
      </c>
      <c r="DK27" s="19">
        <f>BK27+DJ27</f>
        <v>5805</v>
      </c>
      <c r="DL27" s="20">
        <v>40500</v>
      </c>
      <c r="DM27" s="2">
        <v>0</v>
      </c>
      <c r="DN27" s="19">
        <f>+E27</f>
        <v>13177.95</v>
      </c>
      <c r="DO27" s="20">
        <v>40500</v>
      </c>
      <c r="DP27" s="2">
        <f>(9000+1358.5+1057.5+1147.5)*$CL$5</f>
        <v>2462.4459999999999</v>
      </c>
      <c r="DQ27" s="19">
        <f>(9000+1358.5+1057.5+1147.5)+DP27</f>
        <v>15025.946</v>
      </c>
      <c r="DR27" s="20">
        <v>40500</v>
      </c>
      <c r="DS27">
        <f>BR27*$CL$5</f>
        <v>136.71</v>
      </c>
      <c r="DT27" s="19">
        <f>+BR27+DS27</f>
        <v>834.21</v>
      </c>
      <c r="DU27" s="20">
        <v>40500</v>
      </c>
      <c r="DV27" s="2">
        <f>+I27*$CL$5</f>
        <v>4413.92</v>
      </c>
      <c r="DW27" s="19">
        <f>I27+DV27</f>
        <v>26933.919999999998</v>
      </c>
      <c r="DX27" s="20">
        <v>40500</v>
      </c>
      <c r="DY27" s="2">
        <f>BT27*$CL$5</f>
        <v>678.55200000000002</v>
      </c>
      <c r="DZ27" s="19">
        <f>+BT27+DY27</f>
        <v>4140.5519999999997</v>
      </c>
      <c r="EA27" s="20">
        <v>40500</v>
      </c>
      <c r="EB27" s="2">
        <f>BS27*$CL$5</f>
        <v>2515.8168000000001</v>
      </c>
      <c r="EC27" s="19">
        <f>+BS27+EB27</f>
        <v>15351.6168</v>
      </c>
      <c r="ED27" s="20">
        <v>40500</v>
      </c>
      <c r="EE27" s="2">
        <f>+J27*19.6%</f>
        <v>2854.44796</v>
      </c>
      <c r="EF27" s="19">
        <f>J27+EE27</f>
        <v>17417.95796</v>
      </c>
    </row>
    <row r="28" spans="1:226">
      <c r="A28" s="5">
        <v>40452</v>
      </c>
      <c r="B28" s="6"/>
      <c r="C28" s="2"/>
      <c r="D28" s="2"/>
      <c r="E28" s="19">
        <v>18606</v>
      </c>
      <c r="F28" s="2"/>
      <c r="G28" s="2"/>
      <c r="H28" s="2"/>
      <c r="I28" s="19">
        <f>10080+8640</f>
        <v>18720</v>
      </c>
      <c r="J28" s="19">
        <v>13839.46</v>
      </c>
      <c r="K28" s="2"/>
      <c r="L28" s="2"/>
      <c r="M28" s="19">
        <f>2000</f>
        <v>2000</v>
      </c>
      <c r="N28" s="2"/>
      <c r="O28" s="2"/>
      <c r="P28" s="2"/>
      <c r="Q28" s="6"/>
      <c r="R28" s="2"/>
      <c r="S28" s="2"/>
      <c r="T28" s="2"/>
      <c r="U28" s="2"/>
      <c r="V28" s="2"/>
      <c r="W28" s="2"/>
      <c r="X28" s="19">
        <f>4041</f>
        <v>4041</v>
      </c>
      <c r="Y28" s="6"/>
      <c r="Z28" s="2"/>
      <c r="AA28" s="2"/>
      <c r="AB28" s="2"/>
      <c r="AC28" s="2"/>
      <c r="AD28" s="2"/>
      <c r="AE28" s="2"/>
      <c r="AF28" s="2"/>
      <c r="AG28" s="19">
        <v>2473.5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19">
        <f>9.81+9.15+63.68+66.33+21.15</f>
        <v>170.12</v>
      </c>
      <c r="AT28" s="19">
        <f>822.6</f>
        <v>822.6</v>
      </c>
      <c r="AU28" s="2"/>
      <c r="AV28" s="2"/>
      <c r="AW28" s="2"/>
      <c r="AX28" s="2"/>
      <c r="AY28" s="2"/>
      <c r="AZ28" s="2"/>
      <c r="BA28" s="2"/>
      <c r="BB28" s="19">
        <f>1080+180</f>
        <v>1260</v>
      </c>
      <c r="BC28" s="2"/>
      <c r="BD28" s="2"/>
      <c r="BE28" s="2"/>
      <c r="BF28" s="2"/>
      <c r="BG28" s="2"/>
      <c r="BH28" s="2"/>
      <c r="BI28" s="19">
        <f>3937</f>
        <v>3937</v>
      </c>
      <c r="BJ28" s="2"/>
      <c r="BK28" s="2"/>
      <c r="BL28" s="2"/>
      <c r="BM28" s="2"/>
      <c r="BN28" s="2"/>
      <c r="BO28" s="2"/>
      <c r="BP28" s="2"/>
      <c r="BQ28" s="2"/>
      <c r="BR28" s="2">
        <f>7728.45</f>
        <v>7728.45</v>
      </c>
      <c r="BS28" s="19">
        <f>14853.02+5648</f>
        <v>20501.02</v>
      </c>
      <c r="BT28" s="2"/>
      <c r="BU28" s="19">
        <f>543.34+217.14</f>
        <v>760.48</v>
      </c>
      <c r="BV28" s="19">
        <v>29330</v>
      </c>
      <c r="BW28" s="2">
        <v>42186.68</v>
      </c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>
        <f>97477.98-C28-D28-E28-F28-G28-H28-I28-J28-L28-M28-N28-O28-P28-Q28-R28-S28-T28-U28-V28-W28-X28-Y28-Z28-AA28-AB28-AC28-AD28-AE28-AF28-AG28-AH28-AI28-AJ28-AK28-AL28-AM28-AN28-AO28-AP28-AQ28-AR28-AS28-AT28-AU28-AV28-AW28-AX28-AY28-AZ28-BA28-BB28-BC28-BD28-BE28-BF28-BG28-BH28-BI28-BJ28-BK28-BL28-BM28-BN28-BO28-BP28-BQ28-BR28-BS28-BT28-BU28-BV28-BW28</f>
        <v>-68898.33</v>
      </c>
      <c r="CJ28" s="6">
        <f t="shared" si="2"/>
        <v>97477.98</v>
      </c>
      <c r="CK28" s="20">
        <v>40500</v>
      </c>
      <c r="CL28" s="6">
        <f>+X28*$CL$5</f>
        <v>792.03600000000006</v>
      </c>
      <c r="CM28" s="19">
        <f>+X28+CL28</f>
        <v>4833.0360000000001</v>
      </c>
      <c r="CN28" s="8">
        <v>40500</v>
      </c>
      <c r="CO28" s="6">
        <f>+(63.68+21.15+66.33)*$CL$5</f>
        <v>29.627359999999999</v>
      </c>
      <c r="CP28" s="19">
        <f>+(63.68+21.15+66.33)+CO28</f>
        <v>180.78736000000001</v>
      </c>
      <c r="CQ28" s="8">
        <v>40500</v>
      </c>
      <c r="CR28" s="6">
        <f>AT28*$CL$5</f>
        <v>161.2296</v>
      </c>
      <c r="CS28" s="19">
        <f>AT28+CR28</f>
        <v>983.82960000000003</v>
      </c>
      <c r="CT28" s="8">
        <v>40500</v>
      </c>
      <c r="CU28" s="6">
        <f>+M28*$CL$5</f>
        <v>392</v>
      </c>
      <c r="CV28" s="19">
        <f>+M28+CU28</f>
        <v>2392</v>
      </c>
      <c r="CW28" s="20">
        <v>40500</v>
      </c>
      <c r="CX28" s="6">
        <f>+BU28*$CL$5</f>
        <v>149.05408</v>
      </c>
      <c r="CY28" s="19">
        <f>+BU28+CX28</f>
        <v>909.53408000000002</v>
      </c>
      <c r="CZ28" s="20">
        <v>40518</v>
      </c>
      <c r="DA28">
        <v>0</v>
      </c>
      <c r="DB28" s="19">
        <f>+E28+DA28</f>
        <v>18606</v>
      </c>
      <c r="DC28" s="20">
        <v>40518</v>
      </c>
      <c r="DD28" s="6">
        <f>9.81*$CL$5</f>
        <v>1.9227600000000002</v>
      </c>
      <c r="DE28" s="19">
        <f>9.81+DD28</f>
        <v>11.732760000000001</v>
      </c>
      <c r="DF28" s="20">
        <v>40518</v>
      </c>
      <c r="DG28" s="6">
        <f>9.15*$CL$5</f>
        <v>1.7934000000000001</v>
      </c>
      <c r="DH28" s="19">
        <f>9.15+DG28</f>
        <v>10.9434</v>
      </c>
      <c r="DI28" s="20">
        <v>40518</v>
      </c>
      <c r="DJ28" s="2">
        <f>BI28*$CL$5</f>
        <v>771.65200000000004</v>
      </c>
      <c r="DK28" s="19">
        <f>+BI28+DJ28</f>
        <v>4708.652</v>
      </c>
      <c r="DL28" s="20">
        <v>40518</v>
      </c>
      <c r="DM28" s="2">
        <f>BV28*$CL$5</f>
        <v>5748.68</v>
      </c>
      <c r="DN28" s="19">
        <f>BV28+DM28</f>
        <v>35078.68</v>
      </c>
      <c r="DO28" s="20">
        <v>40518</v>
      </c>
      <c r="DP28" s="2">
        <f>(1080+180)*$CL$5</f>
        <v>246.96</v>
      </c>
      <c r="DQ28" s="19">
        <f>(1080+180)+DP28</f>
        <v>1506.96</v>
      </c>
      <c r="DR28" s="20">
        <v>40518</v>
      </c>
      <c r="DS28">
        <f>(10080+8640)*$CL$5</f>
        <v>3669.1200000000003</v>
      </c>
      <c r="DT28" s="19">
        <f>(10080+8640)+DS28</f>
        <v>22389.119999999999</v>
      </c>
      <c r="DU28" s="20">
        <v>40518</v>
      </c>
      <c r="DV28" s="2">
        <f>J28*$CL$5</f>
        <v>2712.5341600000002</v>
      </c>
      <c r="DW28" s="19">
        <f>J28+DV28</f>
        <v>16551.994159999998</v>
      </c>
      <c r="DX28" s="20"/>
      <c r="DY28" s="2"/>
      <c r="DZ28" s="6"/>
      <c r="EA28" s="20">
        <v>40500</v>
      </c>
      <c r="EB28" s="2">
        <f>BS28*$CL$5</f>
        <v>4018.19992</v>
      </c>
      <c r="EC28" s="19">
        <f>+BS28+EB28</f>
        <v>24519.21992</v>
      </c>
    </row>
    <row r="29" spans="1:226">
      <c r="A29" s="5">
        <v>40483</v>
      </c>
      <c r="B29" s="6"/>
      <c r="C29" s="2"/>
      <c r="D29" s="2"/>
      <c r="E29" s="19">
        <v>16716</v>
      </c>
      <c r="F29" s="2"/>
      <c r="G29" s="2"/>
      <c r="H29" s="2"/>
      <c r="I29" s="19">
        <f>9120+2400</f>
        <v>11520</v>
      </c>
      <c r="J29" s="19">
        <v>12570.06</v>
      </c>
      <c r="K29" s="2">
        <f>22376.53</f>
        <v>22376.53</v>
      </c>
      <c r="L29" s="2"/>
      <c r="M29" s="21">
        <f>4600+9954+4000</f>
        <v>18554</v>
      </c>
      <c r="N29" s="2"/>
      <c r="O29" s="2"/>
      <c r="P29" s="2"/>
      <c r="Q29" s="6"/>
      <c r="R29" s="2"/>
      <c r="S29" s="2"/>
      <c r="T29" s="2"/>
      <c r="U29" s="2"/>
      <c r="V29" s="2"/>
      <c r="W29" s="2"/>
      <c r="X29" s="19">
        <v>4587.5</v>
      </c>
      <c r="Y29" s="6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19">
        <f>5310.3</f>
        <v>5310.3</v>
      </c>
      <c r="AU29" s="2"/>
      <c r="AV29" s="2"/>
      <c r="AW29" s="2"/>
      <c r="AX29" s="2"/>
      <c r="AY29" s="2"/>
      <c r="AZ29" s="2"/>
      <c r="BA29" s="2"/>
      <c r="BB29" s="19">
        <f>540+9631+3600</f>
        <v>13771</v>
      </c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19">
        <f>11085.48*30%</f>
        <v>3325.6439999999998</v>
      </c>
      <c r="BU29" s="2"/>
      <c r="BV29" s="2"/>
      <c r="BW29" s="2">
        <v>-42186.68</v>
      </c>
      <c r="BX29" s="2"/>
      <c r="BY29" s="19">
        <f>23400+6237</f>
        <v>29637</v>
      </c>
      <c r="BZ29" s="19">
        <v>220.72</v>
      </c>
      <c r="CA29" s="19">
        <v>31600.07</v>
      </c>
      <c r="CB29" s="2"/>
      <c r="CC29" s="2">
        <v>3739461.77</v>
      </c>
      <c r="CD29" s="2"/>
      <c r="CE29" s="2"/>
      <c r="CF29" s="2"/>
      <c r="CG29" s="2"/>
      <c r="CH29" s="2"/>
      <c r="CI29" s="2">
        <f>97477.98+15603.27+3739461.77-C29-D29-E29-F29-G29-H29-I29-J29-K29-L29-M29-N29-O29-P29-Q29-R29-S29-T29-U29-V29-W29-X29-Y29-Z29-AA29-AB29-AC29-AD29-AE29-AF29-AG29-AH29-AI29-AJ29-AK29-AL29-AM29-AN29-AO29-AP29-AQ29-AR29-AS29-AT29-AU29-AV29-AW29-AX29-AY29-AZ29-BA29-BB29-BC29-BD29-BE29-BF29-BG29-BH29-BI29-BJ29-BK29-BL29-BM29-BN29-BO29-BP29-BQ29-BR29-BS29-BT29-BU29-BV29-BW29-BX29-BY29-BZ29-CA29-CC29</f>
        <v>-14920.893999999389</v>
      </c>
      <c r="CJ29" s="6">
        <f t="shared" si="2"/>
        <v>3852543.0200000005</v>
      </c>
      <c r="CK29" s="20">
        <v>40518</v>
      </c>
      <c r="CL29" s="6">
        <f>X29*$CL$5</f>
        <v>899.15000000000009</v>
      </c>
      <c r="CM29" s="19">
        <f>+X29+CL29</f>
        <v>5486.65</v>
      </c>
      <c r="CN29" s="8">
        <v>40518</v>
      </c>
      <c r="CO29" s="6">
        <f>4600*$CL$5</f>
        <v>901.6</v>
      </c>
      <c r="CP29" s="19">
        <f>4600+CO29</f>
        <v>5501.6</v>
      </c>
      <c r="CQ29" s="8">
        <v>40525</v>
      </c>
      <c r="CR29" s="6">
        <f>540*$CL$5</f>
        <v>105.84</v>
      </c>
      <c r="CS29" s="19">
        <f>540+CR29</f>
        <v>645.84</v>
      </c>
      <c r="CT29" s="8">
        <v>40553</v>
      </c>
      <c r="CU29" s="6">
        <f>(3600+9631)*19.6%</f>
        <v>2593.2760000000003</v>
      </c>
      <c r="CV29" s="19">
        <f>(3600+9631)+CU29</f>
        <v>15824.276</v>
      </c>
      <c r="CW29" s="20">
        <v>40553</v>
      </c>
      <c r="CX29" s="6">
        <f>(23400+6237)*19.6%</f>
        <v>5808.8519999999999</v>
      </c>
      <c r="CY29" s="19">
        <f>(23400+6237)+CX29</f>
        <v>35445.851999999999</v>
      </c>
      <c r="CZ29" s="20">
        <v>40553</v>
      </c>
      <c r="DA29" s="2">
        <f>BT29*19.6%</f>
        <v>651.82622400000002</v>
      </c>
      <c r="DB29" s="19">
        <f>BT29+DA29</f>
        <v>3977.4702239999997</v>
      </c>
      <c r="DC29" s="20">
        <v>40553</v>
      </c>
      <c r="DD29" s="6">
        <f>AT29*$CL$5</f>
        <v>1040.8188</v>
      </c>
      <c r="DE29" s="19">
        <f>+AT29+DD29</f>
        <v>6351.1188000000002</v>
      </c>
      <c r="DF29" s="20">
        <v>40553</v>
      </c>
      <c r="DG29" s="6">
        <f>+BZ29*19.6%</f>
        <v>43.261119999999998</v>
      </c>
      <c r="DH29" s="19">
        <f>+BZ29+DG29</f>
        <v>263.98111999999998</v>
      </c>
      <c r="DI29" s="20">
        <v>40553</v>
      </c>
      <c r="DJ29" s="2">
        <f>J29*$CL$5</f>
        <v>2463.7317600000001</v>
      </c>
      <c r="DK29" s="19">
        <f>J29+DJ29</f>
        <v>15033.79176</v>
      </c>
      <c r="DL29" s="20">
        <v>40553</v>
      </c>
      <c r="DM29" s="2">
        <f>4000*$CL$5</f>
        <v>784</v>
      </c>
      <c r="DN29" s="19">
        <f>4000+DM29</f>
        <v>4784</v>
      </c>
      <c r="DO29" s="20">
        <v>40581</v>
      </c>
      <c r="DP29">
        <v>0</v>
      </c>
      <c r="DQ29" s="19">
        <f>E29</f>
        <v>16716</v>
      </c>
      <c r="DR29" s="20">
        <v>40581</v>
      </c>
      <c r="DS29">
        <f>(9120+2400)*$CL$5</f>
        <v>2257.92</v>
      </c>
      <c r="DT29" s="19">
        <f>(9120+2400)+DS29</f>
        <v>13777.92</v>
      </c>
      <c r="DU29" s="20">
        <v>40618</v>
      </c>
      <c r="DV29" s="2">
        <f>+CA29*$CL$5</f>
        <v>6193.6137200000003</v>
      </c>
      <c r="DW29" s="19">
        <f>+CA29+DV29</f>
        <v>37793.683720000001</v>
      </c>
      <c r="DX29" s="20"/>
      <c r="DY29" s="2"/>
      <c r="DZ29" s="6"/>
    </row>
    <row r="30" spans="1:226">
      <c r="A30" s="5">
        <v>40513</v>
      </c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6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9">
        <v>16.11</v>
      </c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19">
        <f>8750+900</f>
        <v>9650</v>
      </c>
      <c r="BY30" s="2"/>
      <c r="BZ30" s="2"/>
      <c r="CA30" s="2"/>
      <c r="CB30" s="19">
        <f>622+541.65</f>
        <v>1163.6500000000001</v>
      </c>
      <c r="CC30" s="2"/>
      <c r="CD30" s="2"/>
      <c r="CE30" s="2"/>
      <c r="CF30" s="2"/>
      <c r="CG30" s="2"/>
      <c r="CH30" s="2"/>
      <c r="CI30" s="2">
        <f>0-B30-C30-D30-E30-F30-G30-H30-I30-J30-K30-L30-M30-N30-O30-P30-Q30-R30-S30-T30-U30-V30-W30-X30-Y30-Z30-AA30-AB30-AC30-AD30-AE30-AF30-AG30-AH30-AI30-AJ30-AK30-AL30-AM30-AN30-AO30-AP30-AQ30-AR30-AS30-AT30-AU30-AV30-AW30-AX30-AY30-AZ30-BA30-BB30-BC30-BD30-BE30-BF30-BG30-BH30-BI30-BJ30-BK30-BL30-BM30-BN30-BO30-BP30-BQ30-BR30-BS30-BT30-BU30-BV30-BW30-BX30-BY30-BZ30-CA30-CB30-CC30</f>
        <v>-10829.76</v>
      </c>
      <c r="CJ30" s="6">
        <f t="shared" si="2"/>
        <v>0</v>
      </c>
      <c r="CK30" s="20">
        <v>40581</v>
      </c>
      <c r="CL30" s="6">
        <f>+AS30*$CL$5</f>
        <v>3.1575600000000001</v>
      </c>
      <c r="CM30" s="19">
        <f>+AS30+CL30</f>
        <v>19.26756</v>
      </c>
      <c r="CN30" s="8">
        <v>40581</v>
      </c>
      <c r="CO30" s="6">
        <f>(622+541.65)*$CL$5</f>
        <v>228.07540000000003</v>
      </c>
      <c r="CP30" s="19">
        <f>(622+541.65)+CO30</f>
        <v>1391.7254</v>
      </c>
      <c r="CQ30" s="8">
        <v>40581</v>
      </c>
      <c r="CR30" s="6">
        <f>(8750+900)*$CL$5</f>
        <v>1891.4</v>
      </c>
      <c r="CS30" s="19">
        <f>(8750+900)+CR30</f>
        <v>11541.4</v>
      </c>
      <c r="CT30" s="9"/>
      <c r="CU30" s="9"/>
      <c r="DX30" s="20"/>
      <c r="DY30" s="2"/>
      <c r="DZ30" s="6"/>
    </row>
    <row r="31" spans="1:226">
      <c r="A31" s="5">
        <v>40544</v>
      </c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6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19">
        <f>3118+5149</f>
        <v>8267</v>
      </c>
      <c r="BC31" s="2"/>
      <c r="BD31" s="19">
        <f>16473.55+32930.51</f>
        <v>49404.06</v>
      </c>
      <c r="BE31" s="2"/>
      <c r="BF31" s="2"/>
      <c r="BG31" s="2"/>
      <c r="BH31" s="19">
        <v>18695.7</v>
      </c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19">
        <f>1900+4800</f>
        <v>6700</v>
      </c>
      <c r="BY31" s="2"/>
      <c r="BZ31" s="2"/>
      <c r="CA31" s="2"/>
      <c r="CB31" s="2"/>
      <c r="CC31" s="2"/>
      <c r="CD31" s="19">
        <v>2400</v>
      </c>
      <c r="CE31" s="19">
        <v>3570</v>
      </c>
      <c r="CF31" s="6"/>
      <c r="CG31" s="2"/>
      <c r="CH31" s="2"/>
      <c r="CI31" s="2">
        <f>0-B31-C31-D31-E31-F31-G31-H31-I31-J31-K31-L31-M31-N31-O31-P31-Q31-R31-S31-T31-U31-V31-W31-X31-Y31-Z31-AA31-AB31-AC31-AD31-AE31-AF31-AG31-AH31-AI31-AJ31-AK31-AL31-AM31-AN31-AO31-AP31-AQ31-AR31-AS31-AT31-AU31-AV31-AW31-AX31-AY31-AZ31-BA31-BB31-BC31-BD31-BE31-BF31-BG31-BH31-BI31-BJ31-BK31-BL31-BM31-BN31-BO31-BP31-BQ31-BR31-BS31-BT31-BU31-BV31-BW31-BX31-BY31-BZ31-CA31-CB31-CC31-CD31-CE31</f>
        <v>-89036.76</v>
      </c>
      <c r="CJ31" s="6">
        <f t="shared" si="2"/>
        <v>0</v>
      </c>
      <c r="CK31" s="20">
        <v>40449</v>
      </c>
      <c r="CL31" s="6">
        <f>0</f>
        <v>0</v>
      </c>
      <c r="CM31" s="19">
        <f>9347.85</f>
        <v>9347.85</v>
      </c>
      <c r="CN31" s="8">
        <v>40581</v>
      </c>
      <c r="CO31" s="6">
        <f>CE31*$CL$5</f>
        <v>699.72</v>
      </c>
      <c r="CP31" s="19">
        <f>+CE31+CO31</f>
        <v>4269.72</v>
      </c>
      <c r="CQ31" s="8">
        <v>40618</v>
      </c>
      <c r="CR31" s="6">
        <f>(3118+5149)*19.6%</f>
        <v>1620.3320000000001</v>
      </c>
      <c r="CS31" s="19">
        <f>(3118+5149)+CR31</f>
        <v>9887.3320000000003</v>
      </c>
      <c r="CT31" s="8">
        <v>40624</v>
      </c>
      <c r="CU31" s="6">
        <f>0</f>
        <v>0</v>
      </c>
      <c r="CV31" s="19">
        <f>9347.85</f>
        <v>9347.85</v>
      </c>
      <c r="CW31" s="83">
        <v>40644</v>
      </c>
      <c r="CX31" s="6">
        <f>+BX31*$CL$5</f>
        <v>1313.2</v>
      </c>
      <c r="CY31" s="19">
        <f>+CX31+BX31</f>
        <v>8013.2</v>
      </c>
      <c r="CZ31" s="20">
        <v>40644</v>
      </c>
      <c r="DA31">
        <f>CD31*$CL$5</f>
        <v>470.40000000000003</v>
      </c>
      <c r="DB31" s="19">
        <f>CD31+DA31</f>
        <v>2870.4</v>
      </c>
      <c r="DC31" s="20">
        <v>40697</v>
      </c>
      <c r="DD31" s="6">
        <f>BD31*$CL$5</f>
        <v>9683.1957600000005</v>
      </c>
      <c r="DE31" s="19">
        <f>DD31+BD31</f>
        <v>59087.25576</v>
      </c>
      <c r="DX31" s="20"/>
      <c r="DY31" s="2"/>
      <c r="DZ31" s="6"/>
    </row>
    <row r="32" spans="1:226">
      <c r="A32" s="5">
        <v>40575</v>
      </c>
      <c r="B32" s="6"/>
      <c r="C32" s="2"/>
      <c r="D32" s="2"/>
      <c r="E32" s="2"/>
      <c r="F32" s="2"/>
      <c r="G32" s="2"/>
      <c r="H32" s="2"/>
      <c r="I32" s="2"/>
      <c r="J32" s="2"/>
      <c r="K32" s="2">
        <v>7812.69</v>
      </c>
      <c r="L32" s="2"/>
      <c r="M32" s="2">
        <f>3236.2-3236.2</f>
        <v>0</v>
      </c>
      <c r="N32" s="2"/>
      <c r="O32" s="2"/>
      <c r="P32" s="2"/>
      <c r="Q32" s="6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6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>
        <f>150000-B32-C32-D32-E32-F32-G32-H32-I32-J32-K32-L32-M32-N32-O32-P32-Q32-R32-S32-T32-U32-V32-W32-X32-Y32-Z32-AA32-AB32-AC32-AD32-AE32-AF32-AG32-AH32-AI32-AJ32-AK32-AL32-AM32-AN32-AO32-AP32-AQ32-AR32-AS32-AT32-AU32-AV32-AW32-AX32-AY32-AZ32-BA32-BB32-BC32-BD32-BE32-BF32-BG32-BH32-BI32-BJ32-BK32-BL32-BM32-BN32-BO32-BP32-BQ32-BR32-BS32-BT32-BU32-BV32-BW32-BX32-BY32-BZ32-CA32-CB32-CC32-CD32-CE32</f>
        <v>142187.31</v>
      </c>
      <c r="CJ32" s="6">
        <f t="shared" si="2"/>
        <v>150000</v>
      </c>
      <c r="CK32" s="20"/>
      <c r="CL32" s="6"/>
      <c r="CM32" s="6"/>
      <c r="CN32" s="8"/>
      <c r="CO32" s="6"/>
      <c r="CP32" s="6"/>
      <c r="CQ32" s="9"/>
      <c r="CR32" s="9"/>
      <c r="CS32" s="9"/>
      <c r="CT32" s="9"/>
      <c r="CU32" s="9"/>
      <c r="DX32" s="20"/>
      <c r="DY32" s="2"/>
      <c r="DZ32" s="6"/>
    </row>
    <row r="33" spans="1:155">
      <c r="A33" s="5">
        <v>40603</v>
      </c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6"/>
      <c r="R33" s="2"/>
      <c r="S33" s="2"/>
      <c r="T33" s="2"/>
      <c r="U33" s="2"/>
      <c r="V33" s="2"/>
      <c r="W33" s="2"/>
      <c r="X33" s="19">
        <v>5856</v>
      </c>
      <c r="Y33" s="6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>
        <f>135+135+135+135-540</f>
        <v>0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6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19">
        <v>2194.2399999999998</v>
      </c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>
        <f>3088.61+1200</f>
        <v>4288.6100000000006</v>
      </c>
      <c r="CG33" s="2"/>
      <c r="CH33" s="2"/>
      <c r="CI33" s="2">
        <f>-6010.5-1266.58-56.6-B33-C33-D33-E33-F33-G33-H33-I33-J33-K33-L33-M33-N33-O33-P33-Q33-R33-S33-T33-U33-V33-W33-X33-Y33-Z33-AA33-AB33-AC33-AD33-AE33-AF33-AG33-AH33-AI33-AJ33-AK33-AL33-AM33-AN33-AO33-AP33-AQ33-AR33-AS33-AT33-AU33-AV33-AW33-AX33-AY33-AZ33-BA33-BB33-BC33-BD33-BE33-BF33-BG33-BH33-BI33-BJ33-BK33-BL33-BM33-BN33-BO33-BP33-BQ33-BR33-BS33-BT33-BU33-BV33-BW33-BX33-BY33-BZ33-CA33-CB33-CC33-CD33-CE33-CF33</f>
        <v>-19672.53</v>
      </c>
      <c r="CJ33" s="6">
        <f t="shared" si="2"/>
        <v>-7333.6799999999985</v>
      </c>
      <c r="CK33" s="20">
        <v>40644</v>
      </c>
      <c r="CL33" s="6">
        <f>+BT33*$CL$5</f>
        <v>430.07103999999998</v>
      </c>
      <c r="CM33" s="19">
        <f>+BT33+CL33</f>
        <v>2624.3110399999996</v>
      </c>
      <c r="CN33" s="8">
        <v>40644</v>
      </c>
      <c r="CO33" s="6">
        <f>+X33*$CL$5</f>
        <v>1147.7760000000001</v>
      </c>
      <c r="CP33" s="19">
        <f>+X33+CO33</f>
        <v>7003.7759999999998</v>
      </c>
      <c r="CQ33" s="9"/>
      <c r="CR33" s="9"/>
      <c r="CS33" s="9"/>
      <c r="CT33" s="9"/>
      <c r="CU33" s="9"/>
      <c r="DX33" s="20"/>
      <c r="DY33" s="2"/>
      <c r="DZ33" s="6"/>
    </row>
    <row r="34" spans="1:155">
      <c r="A34" s="5">
        <v>40634</v>
      </c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6"/>
      <c r="R34" s="19">
        <v>1140</v>
      </c>
      <c r="S34" s="2"/>
      <c r="T34" s="2"/>
      <c r="U34" s="2"/>
      <c r="V34" s="2"/>
      <c r="W34" s="2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19">
        <f>3335.64+7018.09</f>
        <v>10353.73</v>
      </c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19">
        <f>11085.48*70%</f>
        <v>7759.8359999999993</v>
      </c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2">
        <f>0-B34-C34-D34-E34-F34-G34-H34-I34-J34-K34-L34-M34-N34-O34-P34-Q34-R34-S34-T34-U34-V34-W34-X34-Y34-Z34-AA34-AB34-AC34-AD34-AE34-AF34-AG34-AH34-AI34-AJ34-AK34-AL34-AM34-AN34-AO34-AP34-AQ34-AR34-AS34-AT34-AU34-AV34-AW34-AX34-AY34-AZ34-BA34-BB34-BC34-BD34-BE34-BF34-BG34-BH34-BI34-BJ34-BK34-BL34-BM34-BN34-BO34-BP34-BQ34-BR34-BS34-BT34-BU34-BV34-BW34-BX34-BY34-BZ34-CA34-CB34-CC34-CD34-CE34-CF34-19054.79</f>
        <v>-38308.356</v>
      </c>
      <c r="CJ34" s="6">
        <f t="shared" si="2"/>
        <v>-19054.79</v>
      </c>
      <c r="CK34" s="20">
        <v>40749</v>
      </c>
      <c r="CL34" s="6">
        <f>+BT34*CL5</f>
        <v>1520.927856</v>
      </c>
      <c r="CM34" s="19">
        <f>+BT34+CL34</f>
        <v>9280.7638559999996</v>
      </c>
      <c r="CN34" s="8">
        <v>40749</v>
      </c>
      <c r="CO34" s="6">
        <f>+R34*CL5</f>
        <v>223.44</v>
      </c>
      <c r="CP34" s="19">
        <f>+R34+CO34</f>
        <v>1363.44</v>
      </c>
      <c r="CQ34" s="8">
        <v>40767</v>
      </c>
      <c r="CR34" s="6">
        <f>+BB34*$CL$5</f>
        <v>2029.3310799999999</v>
      </c>
      <c r="CS34" s="19">
        <f>+BB34+CR34</f>
        <v>12383.061079999999</v>
      </c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8"/>
      <c r="DY34" s="6"/>
      <c r="DZ34" s="6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</row>
    <row r="35" spans="1:155">
      <c r="CK35" s="9"/>
      <c r="CL35" s="9"/>
      <c r="CM35" s="9"/>
      <c r="CN35" s="8"/>
      <c r="CO35" s="6"/>
      <c r="CP35" s="6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</row>
    <row r="36" spans="1:155">
      <c r="B36" s="68">
        <f>SUM(B7:B35)</f>
        <v>90072.5</v>
      </c>
      <c r="C36" s="68">
        <f t="shared" ref="C36:CG36" si="3">SUM(C7:C35)</f>
        <v>90200</v>
      </c>
      <c r="D36" s="68">
        <f t="shared" si="3"/>
        <v>95500</v>
      </c>
      <c r="E36" s="68">
        <f t="shared" si="3"/>
        <v>231934.16</v>
      </c>
      <c r="F36" s="68">
        <f t="shared" si="3"/>
        <v>97627.659999999989</v>
      </c>
      <c r="G36" s="68">
        <f t="shared" si="3"/>
        <v>38520</v>
      </c>
      <c r="H36" s="68">
        <f t="shared" si="3"/>
        <v>20800</v>
      </c>
      <c r="I36" s="68">
        <f t="shared" si="3"/>
        <v>280310</v>
      </c>
      <c r="J36" s="68">
        <f t="shared" si="3"/>
        <v>178485.17</v>
      </c>
      <c r="K36" s="68">
        <f t="shared" si="3"/>
        <v>30189.219999999998</v>
      </c>
      <c r="L36" s="68">
        <f t="shared" si="3"/>
        <v>27470</v>
      </c>
      <c r="M36" s="68">
        <f t="shared" si="3"/>
        <v>295148.38</v>
      </c>
      <c r="N36" s="68">
        <f t="shared" si="3"/>
        <v>384321.31</v>
      </c>
      <c r="O36" s="68">
        <f t="shared" si="3"/>
        <v>37118.869999999995</v>
      </c>
      <c r="P36" s="68">
        <f t="shared" si="3"/>
        <v>2268</v>
      </c>
      <c r="Q36" s="68">
        <f t="shared" si="3"/>
        <v>2532.5</v>
      </c>
      <c r="R36" s="68">
        <f t="shared" si="3"/>
        <v>1140</v>
      </c>
      <c r="S36" s="68">
        <f t="shared" si="3"/>
        <v>604.34999999999991</v>
      </c>
      <c r="T36" s="68">
        <f t="shared" si="3"/>
        <v>6543.32</v>
      </c>
      <c r="U36" s="68">
        <f t="shared" si="3"/>
        <v>3454.12</v>
      </c>
      <c r="V36" s="68">
        <f t="shared" si="3"/>
        <v>1196.6400000000001</v>
      </c>
      <c r="W36" s="68">
        <f t="shared" si="3"/>
        <v>22360</v>
      </c>
      <c r="X36" s="68">
        <f t="shared" si="3"/>
        <v>145216.01999999999</v>
      </c>
      <c r="Y36" s="68">
        <f t="shared" si="3"/>
        <v>2339.4</v>
      </c>
      <c r="Z36" s="68">
        <f t="shared" si="3"/>
        <v>2615</v>
      </c>
      <c r="AA36" s="68">
        <f t="shared" si="3"/>
        <v>959</v>
      </c>
      <c r="AB36" s="68">
        <f t="shared" si="3"/>
        <v>12302.539999999999</v>
      </c>
      <c r="AC36" s="68">
        <f t="shared" si="3"/>
        <v>557644.34</v>
      </c>
      <c r="AD36" s="68">
        <f t="shared" si="3"/>
        <v>40145</v>
      </c>
      <c r="AE36" s="68">
        <f t="shared" si="3"/>
        <v>45500</v>
      </c>
      <c r="AF36" s="68">
        <f t="shared" si="3"/>
        <v>53589.8</v>
      </c>
      <c r="AG36" s="68">
        <f t="shared" si="3"/>
        <v>5533.5</v>
      </c>
      <c r="AH36" s="68">
        <f t="shared" si="3"/>
        <v>12000</v>
      </c>
      <c r="AI36" s="68">
        <f t="shared" si="3"/>
        <v>200</v>
      </c>
      <c r="AJ36" s="68">
        <f t="shared" si="3"/>
        <v>27656.35</v>
      </c>
      <c r="AK36" s="68">
        <f t="shared" si="3"/>
        <v>21562.799999999999</v>
      </c>
      <c r="AL36" s="2">
        <f t="shared" si="3"/>
        <v>0</v>
      </c>
      <c r="AM36" s="68">
        <f t="shared" si="3"/>
        <v>10939.2</v>
      </c>
      <c r="AN36" s="2">
        <f t="shared" si="3"/>
        <v>0</v>
      </c>
      <c r="AO36" s="68">
        <f t="shared" si="3"/>
        <v>6581.25</v>
      </c>
      <c r="AP36" s="68">
        <f t="shared" si="3"/>
        <v>29155.200000000001</v>
      </c>
      <c r="AQ36" s="68">
        <f t="shared" si="3"/>
        <v>42765.760000000002</v>
      </c>
      <c r="AR36" s="68">
        <f t="shared" si="3"/>
        <v>6302.6</v>
      </c>
      <c r="AS36" s="68">
        <f t="shared" si="3"/>
        <v>1546.78</v>
      </c>
      <c r="AT36" s="68">
        <f t="shared" si="3"/>
        <v>14753.55</v>
      </c>
      <c r="AU36" s="68">
        <f t="shared" si="3"/>
        <v>4636.76</v>
      </c>
      <c r="AV36" s="68">
        <f t="shared" si="3"/>
        <v>11800</v>
      </c>
      <c r="AW36" s="68">
        <f>SUM(AW7:AW35)</f>
        <v>92976</v>
      </c>
      <c r="AX36" s="68">
        <f>SUM(AX7:AX35)</f>
        <v>8324.25</v>
      </c>
      <c r="AY36" s="68">
        <f t="shared" si="3"/>
        <v>135100</v>
      </c>
      <c r="AZ36" s="68">
        <f t="shared" si="3"/>
        <v>3420.4800000000005</v>
      </c>
      <c r="BA36" s="68">
        <f t="shared" si="3"/>
        <v>32441.06</v>
      </c>
      <c r="BB36" s="68">
        <f t="shared" si="3"/>
        <v>65076.25</v>
      </c>
      <c r="BC36" s="68">
        <f t="shared" si="3"/>
        <v>3740</v>
      </c>
      <c r="BD36" s="68">
        <f t="shared" si="3"/>
        <v>109600</v>
      </c>
      <c r="BE36" s="68">
        <f t="shared" si="3"/>
        <v>3048</v>
      </c>
      <c r="BF36" s="68">
        <f t="shared" si="3"/>
        <v>4566</v>
      </c>
      <c r="BG36" s="68">
        <f t="shared" si="3"/>
        <v>3196.78</v>
      </c>
      <c r="BH36" s="68">
        <f t="shared" si="3"/>
        <v>28139.4</v>
      </c>
      <c r="BI36" s="68">
        <f t="shared" si="3"/>
        <v>9929</v>
      </c>
      <c r="BJ36" s="68">
        <f t="shared" si="3"/>
        <v>1098</v>
      </c>
      <c r="BK36" s="68">
        <f t="shared" si="3"/>
        <v>12856.68</v>
      </c>
      <c r="BL36" s="68">
        <f t="shared" si="3"/>
        <v>4649.6000000000004</v>
      </c>
      <c r="BM36" s="68">
        <f t="shared" si="3"/>
        <v>300</v>
      </c>
      <c r="BN36" s="68">
        <f t="shared" si="3"/>
        <v>6773</v>
      </c>
      <c r="BO36" s="68">
        <f t="shared" si="3"/>
        <v>7373.63</v>
      </c>
      <c r="BP36" s="68">
        <f t="shared" si="3"/>
        <v>200</v>
      </c>
      <c r="BQ36" s="68">
        <f t="shared" si="3"/>
        <v>3120</v>
      </c>
      <c r="BR36" s="68">
        <f t="shared" si="3"/>
        <v>8425.9500000000007</v>
      </c>
      <c r="BS36" s="68">
        <f t="shared" si="3"/>
        <v>33336.82</v>
      </c>
      <c r="BT36" s="68">
        <f t="shared" si="3"/>
        <v>16741.72</v>
      </c>
      <c r="BU36" s="68">
        <f t="shared" si="3"/>
        <v>760.48</v>
      </c>
      <c r="BV36" s="68">
        <f t="shared" si="3"/>
        <v>29330</v>
      </c>
      <c r="BW36" s="68">
        <f t="shared" si="3"/>
        <v>0</v>
      </c>
      <c r="BX36" s="68">
        <f t="shared" si="3"/>
        <v>16350</v>
      </c>
      <c r="BY36" s="68">
        <f t="shared" si="3"/>
        <v>29637</v>
      </c>
      <c r="BZ36" s="68">
        <f t="shared" si="3"/>
        <v>220.72</v>
      </c>
      <c r="CA36" s="68">
        <f t="shared" si="3"/>
        <v>31600.07</v>
      </c>
      <c r="CB36" s="68">
        <f t="shared" si="3"/>
        <v>1163.6500000000001</v>
      </c>
      <c r="CC36" s="68">
        <f t="shared" si="3"/>
        <v>3739461.77</v>
      </c>
      <c r="CD36" s="68">
        <f t="shared" si="3"/>
        <v>2400</v>
      </c>
      <c r="CE36" s="68">
        <f t="shared" si="3"/>
        <v>3570</v>
      </c>
      <c r="CF36" s="68">
        <f t="shared" si="3"/>
        <v>4288.6100000000006</v>
      </c>
      <c r="CG36" s="2">
        <f t="shared" si="3"/>
        <v>0</v>
      </c>
      <c r="CH36" s="68">
        <f>SUM(CH7:CH35)</f>
        <v>418073.78</v>
      </c>
      <c r="CI36" s="68">
        <f>SUM(CI7:CI35)</f>
        <v>200.00000000053842</v>
      </c>
      <c r="CJ36" s="2">
        <f>SUM(CJ7:CJ35)</f>
        <v>7865029.7500000009</v>
      </c>
      <c r="CK36" s="9"/>
      <c r="CL36" s="9"/>
      <c r="CM36" s="9"/>
      <c r="CN36" s="6"/>
      <c r="CO36" s="6"/>
      <c r="CP36" s="6"/>
      <c r="CQ36" s="9"/>
      <c r="CR36" s="9"/>
      <c r="CS36" s="9"/>
      <c r="CT36" s="9"/>
      <c r="CU36" s="9"/>
    </row>
    <row r="37" spans="1:155">
      <c r="BD37" s="2"/>
      <c r="CK37" s="9"/>
      <c r="CL37" s="9"/>
      <c r="CM37" s="9"/>
      <c r="CN37" s="8"/>
      <c r="CO37" s="6"/>
      <c r="CP37" s="6"/>
      <c r="CQ37" s="9"/>
      <c r="CR37" s="9"/>
      <c r="CS37" s="9"/>
      <c r="CT37" s="9"/>
      <c r="CU37" s="9"/>
    </row>
    <row r="38" spans="1:155"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J38" s="2"/>
      <c r="CK38" t="s">
        <v>221</v>
      </c>
      <c r="CN38" s="8"/>
      <c r="CO38" s="6"/>
      <c r="CP38" s="6"/>
      <c r="CQ38" s="9"/>
      <c r="CR38" s="9"/>
      <c r="CS38" s="9"/>
    </row>
    <row r="39" spans="1:155">
      <c r="R39" s="2"/>
      <c r="T39" s="20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K39" s="2">
        <v>-4364.1000000000004</v>
      </c>
      <c r="CN39" s="8"/>
      <c r="CO39" s="6"/>
      <c r="CP39" s="6"/>
      <c r="CQ39" s="9"/>
      <c r="CR39" s="9"/>
      <c r="CS39" s="9"/>
    </row>
    <row r="40" spans="1:155">
      <c r="H40" s="75"/>
      <c r="I40" s="75"/>
      <c r="J40" s="75"/>
      <c r="K40" s="75"/>
      <c r="P40" s="9"/>
      <c r="Q40" s="9"/>
      <c r="R40" s="6"/>
      <c r="S40" s="9"/>
      <c r="T40" s="8"/>
      <c r="U40" s="9"/>
      <c r="V40" s="8"/>
      <c r="W40" s="9"/>
      <c r="X40" s="9"/>
      <c r="Y40" s="8"/>
      <c r="Z40" s="9"/>
      <c r="CH40" s="6">
        <f>14649.3</f>
        <v>14649.3</v>
      </c>
      <c r="CI40" s="2">
        <f>-14649.3</f>
        <v>-14649.3</v>
      </c>
      <c r="CK40" s="2">
        <f>-7810.73</f>
        <v>-7810.73</v>
      </c>
      <c r="CN40" s="8"/>
      <c r="CO40" s="6"/>
      <c r="CP40" s="6"/>
      <c r="CQ40" s="9"/>
      <c r="CR40" s="9"/>
      <c r="CS40" s="9"/>
    </row>
    <row r="41" spans="1:155">
      <c r="H41" s="75"/>
      <c r="I41" s="75"/>
      <c r="J41" s="75"/>
      <c r="K41" s="75"/>
      <c r="M41" s="2"/>
      <c r="O41" s="2"/>
      <c r="P41" s="9"/>
      <c r="Q41" s="9"/>
      <c r="R41" s="6"/>
      <c r="S41" s="9"/>
      <c r="T41" s="8"/>
      <c r="U41" s="9"/>
      <c r="V41" s="9"/>
      <c r="W41" s="9"/>
      <c r="X41" s="9"/>
      <c r="Y41" s="9"/>
      <c r="Z41" s="9"/>
      <c r="CH41" s="2">
        <f>72709.33</f>
        <v>72709.33</v>
      </c>
      <c r="CI41" s="2">
        <f>-72709.33</f>
        <v>-72709.33</v>
      </c>
      <c r="CK41" s="2">
        <f>-14164.5</f>
        <v>-14164.5</v>
      </c>
      <c r="CN41" s="8"/>
      <c r="CO41" s="6"/>
      <c r="CP41" s="6"/>
      <c r="CQ41" s="9"/>
      <c r="CR41" s="9"/>
      <c r="CS41" s="9"/>
    </row>
    <row r="42" spans="1:155">
      <c r="B42" s="2"/>
      <c r="H42" s="75"/>
      <c r="I42" s="75"/>
      <c r="J42" s="75"/>
      <c r="K42" s="75"/>
      <c r="M42" s="2"/>
      <c r="O42" s="2"/>
      <c r="R42" s="2"/>
      <c r="T42" s="20"/>
      <c r="CH42" s="2">
        <f>35830.05</f>
        <v>35830.050000000003</v>
      </c>
      <c r="CI42" s="2">
        <f>-35830.05</f>
        <v>-35830.050000000003</v>
      </c>
      <c r="CK42" s="2">
        <v>-35312.42</v>
      </c>
      <c r="CN42" s="8"/>
      <c r="CO42" s="6"/>
      <c r="CP42" s="6"/>
      <c r="CQ42" s="9"/>
      <c r="CR42" s="9"/>
      <c r="CS42" s="9"/>
    </row>
    <row r="43" spans="1:155">
      <c r="H43" s="75"/>
      <c r="I43" s="75"/>
      <c r="J43" s="75"/>
      <c r="K43" s="75"/>
      <c r="M43" s="2"/>
      <c r="O43" s="2"/>
      <c r="R43" s="2"/>
      <c r="T43" s="20"/>
      <c r="CH43" s="2">
        <v>27741.08</v>
      </c>
      <c r="CI43" s="2">
        <f>-27741.08</f>
        <v>-27741.08</v>
      </c>
      <c r="CK43" s="2">
        <f>-43954.33</f>
        <v>-43954.33</v>
      </c>
      <c r="CN43" s="8"/>
      <c r="CO43" s="6"/>
      <c r="CP43" s="6"/>
      <c r="CQ43" s="9"/>
      <c r="CR43" s="9"/>
      <c r="CS43" s="9"/>
    </row>
    <row r="44" spans="1:155">
      <c r="H44" s="75"/>
      <c r="I44" s="75"/>
      <c r="J44" s="75"/>
      <c r="K44" s="75"/>
      <c r="M44" s="2"/>
      <c r="O44" s="2"/>
      <c r="R44" s="2"/>
      <c r="T44" s="20"/>
      <c r="BC44" s="2">
        <f>52161.66+92450.72+157203.35</f>
        <v>301815.73</v>
      </c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H44" s="2">
        <f>21041.33</f>
        <v>21041.33</v>
      </c>
      <c r="CI44" s="2">
        <v>-21041.33</v>
      </c>
      <c r="CK44" s="2">
        <v>19149.95</v>
      </c>
      <c r="CN44" s="8"/>
      <c r="CO44" s="6"/>
      <c r="CP44" s="6"/>
      <c r="CQ44" s="9"/>
      <c r="CR44" s="9"/>
      <c r="CS44" s="9"/>
    </row>
    <row r="45" spans="1:155">
      <c r="H45" s="75"/>
      <c r="I45" s="79"/>
      <c r="J45" s="79"/>
      <c r="K45" s="79"/>
      <c r="R45" s="2"/>
      <c r="T45" s="20"/>
      <c r="BC45" s="2">
        <v>418073.78</v>
      </c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K45" s="2">
        <f>11213.2</f>
        <v>11213.2</v>
      </c>
      <c r="CN45" s="8"/>
      <c r="CO45" s="6"/>
      <c r="CP45" s="6"/>
      <c r="CQ45" s="9"/>
      <c r="CR45" s="9"/>
      <c r="CS45" s="9"/>
    </row>
    <row r="46" spans="1:155">
      <c r="A46" s="5"/>
      <c r="B46" s="2"/>
      <c r="C46" s="2"/>
      <c r="D46" s="2"/>
      <c r="E46" s="2"/>
      <c r="F46" s="2"/>
      <c r="G46" s="2"/>
      <c r="H46" s="79"/>
      <c r="I46" s="79"/>
      <c r="J46" s="75"/>
      <c r="K46" s="75"/>
      <c r="M46" s="2"/>
      <c r="N46" s="2"/>
      <c r="O46" s="2"/>
      <c r="P46" s="2"/>
      <c r="R46" s="2"/>
      <c r="S46" s="2"/>
      <c r="T46" s="20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>
        <f>+BC45-BC44</f>
        <v>116258.05000000005</v>
      </c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J46" s="6"/>
      <c r="CK46" s="2">
        <f>-99261.76</f>
        <v>-99261.759999999995</v>
      </c>
      <c r="CN46" s="8"/>
      <c r="CO46" s="6"/>
      <c r="CP46" s="6"/>
      <c r="CQ46" s="9"/>
      <c r="CR46" s="9"/>
      <c r="CS46" s="9"/>
    </row>
    <row r="47" spans="1:155">
      <c r="A47" s="5"/>
      <c r="P47" s="2"/>
      <c r="R47" s="2"/>
      <c r="T47" s="20"/>
      <c r="CK47" s="2">
        <f>26405.23</f>
        <v>26405.23</v>
      </c>
      <c r="CN47" s="8"/>
      <c r="CO47" s="6"/>
      <c r="CP47" s="6"/>
      <c r="CQ47" s="9"/>
      <c r="CR47" s="9"/>
      <c r="CS47" s="9"/>
    </row>
    <row r="48" spans="1:155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R48" s="2"/>
      <c r="S48" s="2"/>
      <c r="T48" s="20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J48" s="6"/>
      <c r="CK48" s="2">
        <f>19762.31</f>
        <v>19762.310000000001</v>
      </c>
      <c r="CN48" s="8"/>
      <c r="CO48" s="6"/>
      <c r="CP48" s="6"/>
      <c r="CQ48" s="9"/>
      <c r="CR48" s="9"/>
      <c r="CS48" s="9"/>
    </row>
    <row r="49" spans="1:94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R49" s="2"/>
      <c r="S49" s="2"/>
      <c r="T49" s="20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J49" s="6"/>
      <c r="CK49" s="2">
        <f>23458.59</f>
        <v>23458.59</v>
      </c>
      <c r="CO49" s="2"/>
    </row>
    <row r="50" spans="1:94">
      <c r="A50" s="5"/>
      <c r="BC50" s="2">
        <v>72334.710000000006</v>
      </c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K50" s="2">
        <v>32543.85</v>
      </c>
      <c r="CO50" s="2"/>
      <c r="CP50" s="2"/>
    </row>
    <row r="52" spans="1:94">
      <c r="BC52" s="2">
        <f>+BC46+BC50</f>
        <v>188592.76000000007</v>
      </c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K52" s="2">
        <f>SUM(CK39:CK51)</f>
        <v>-72334.709999999992</v>
      </c>
    </row>
    <row r="54" spans="1:94">
      <c r="P54" s="2"/>
    </row>
    <row r="55" spans="1:94">
      <c r="P55" s="2"/>
    </row>
    <row r="56" spans="1:94">
      <c r="P56" s="2"/>
    </row>
    <row r="57" spans="1:94">
      <c r="P57" s="2"/>
    </row>
    <row r="59" spans="1:94">
      <c r="P59" s="2"/>
    </row>
    <row r="62" spans="1:94">
      <c r="T62" s="20"/>
    </row>
  </sheetData>
  <mergeCells count="1">
    <mergeCell ref="B3:J3"/>
  </mergeCells>
  <phoneticPr fontId="3" type="noConversion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F28" sqref="F28"/>
    </sheetView>
  </sheetViews>
  <sheetFormatPr baseColWidth="10" defaultRowHeight="12.75"/>
  <sheetData>
    <row r="1" spans="1:9" ht="13.5" thickBot="1">
      <c r="A1" s="10"/>
      <c r="B1" s="125" t="s">
        <v>68</v>
      </c>
      <c r="C1" s="126"/>
      <c r="D1" s="10"/>
      <c r="E1" s="10"/>
      <c r="F1" s="10"/>
      <c r="G1" s="10"/>
      <c r="H1" s="10"/>
      <c r="I1" s="10"/>
    </row>
    <row r="2" spans="1:9" ht="13.5" thickBot="1">
      <c r="A2" s="25" t="s">
        <v>5</v>
      </c>
      <c r="B2" s="132" t="s">
        <v>22</v>
      </c>
      <c r="C2" s="131" t="s">
        <v>292</v>
      </c>
    </row>
    <row r="3" spans="1:9">
      <c r="A3" s="137">
        <v>39814</v>
      </c>
      <c r="B3" s="133"/>
      <c r="C3" s="130"/>
    </row>
    <row r="4" spans="1:9">
      <c r="A4" s="107">
        <v>39845</v>
      </c>
      <c r="B4" s="104"/>
      <c r="C4" s="98"/>
    </row>
    <row r="5" spans="1:9">
      <c r="A5" s="107">
        <v>39873</v>
      </c>
      <c r="B5" s="104"/>
      <c r="C5" s="98"/>
    </row>
    <row r="6" spans="1:9">
      <c r="A6" s="107">
        <v>39904</v>
      </c>
      <c r="B6" s="104"/>
      <c r="C6" s="98"/>
    </row>
    <row r="7" spans="1:9">
      <c r="A7" s="107">
        <v>39934</v>
      </c>
      <c r="B7" s="104"/>
      <c r="C7" s="98"/>
    </row>
    <row r="8" spans="1:9">
      <c r="A8" s="107">
        <v>39965</v>
      </c>
      <c r="B8" s="104"/>
      <c r="C8" s="98"/>
    </row>
    <row r="9" spans="1:9">
      <c r="A9" s="107">
        <v>39995</v>
      </c>
      <c r="B9" s="104"/>
      <c r="C9" s="98"/>
    </row>
    <row r="10" spans="1:9">
      <c r="A10" s="107">
        <v>40026</v>
      </c>
      <c r="B10" s="104"/>
      <c r="C10" s="98"/>
    </row>
    <row r="11" spans="1:9">
      <c r="A11" s="107">
        <v>40057</v>
      </c>
      <c r="B11" s="104"/>
      <c r="C11" s="98"/>
    </row>
    <row r="12" spans="1:9">
      <c r="A12" s="107">
        <v>40087</v>
      </c>
      <c r="B12" s="104"/>
      <c r="C12" s="98"/>
    </row>
    <row r="13" spans="1:9">
      <c r="A13" s="107">
        <v>40118</v>
      </c>
      <c r="B13" s="104"/>
      <c r="C13" s="98"/>
    </row>
    <row r="14" spans="1:9">
      <c r="A14" s="107">
        <v>40148</v>
      </c>
      <c r="B14" s="134">
        <f>1727.06+863.53+863.53</f>
        <v>3454.12</v>
      </c>
      <c r="C14" s="127">
        <v>19149.95</v>
      </c>
    </row>
    <row r="15" spans="1:9">
      <c r="A15" s="107">
        <v>40179</v>
      </c>
      <c r="B15" s="135"/>
      <c r="C15" s="99">
        <f>26405.23-4364.1+19762.31-7810.73+23458.59-14164.5+32543.85-35312.42+14649.3-43954.33+72709.33+35830.05</f>
        <v>119752.58</v>
      </c>
    </row>
    <row r="16" spans="1:9">
      <c r="A16" s="107">
        <v>40210</v>
      </c>
      <c r="B16" s="135"/>
      <c r="C16" s="99">
        <f>52161.66+92450.72+157203.35</f>
        <v>301815.73</v>
      </c>
    </row>
    <row r="17" spans="1:4">
      <c r="A17" s="107">
        <v>40238</v>
      </c>
      <c r="B17" s="135"/>
      <c r="C17" s="99">
        <v>27741.08</v>
      </c>
    </row>
    <row r="18" spans="1:4">
      <c r="A18" s="107">
        <v>40269</v>
      </c>
      <c r="B18" s="135"/>
      <c r="C18" s="99">
        <f>21041.33-21041.33-27741.08-35830.05-72709.33-14649.3</f>
        <v>-150929.76</v>
      </c>
    </row>
    <row r="19" spans="1:4">
      <c r="A19" s="107">
        <v>40299</v>
      </c>
      <c r="B19" s="135"/>
      <c r="C19" s="99">
        <f>-99261.76+11213.2+188592.76</f>
        <v>100544.20000000001</v>
      </c>
    </row>
    <row r="20" spans="1:4">
      <c r="A20" s="107">
        <v>40330</v>
      </c>
      <c r="B20" s="135"/>
      <c r="C20" s="99"/>
    </row>
    <row r="21" spans="1:4">
      <c r="A21" s="107">
        <v>40360</v>
      </c>
      <c r="B21" s="135"/>
      <c r="C21" s="99"/>
    </row>
    <row r="22" spans="1:4">
      <c r="A22" s="107">
        <v>40391</v>
      </c>
      <c r="B22" s="135"/>
      <c r="C22" s="99"/>
    </row>
    <row r="23" spans="1:4">
      <c r="A23" s="107">
        <v>40422</v>
      </c>
      <c r="B23" s="135"/>
      <c r="C23" s="99"/>
    </row>
    <row r="24" spans="1:4">
      <c r="A24" s="107">
        <v>40452</v>
      </c>
      <c r="B24" s="135"/>
      <c r="C24" s="99"/>
    </row>
    <row r="25" spans="1:4">
      <c r="A25" s="107">
        <v>40483</v>
      </c>
      <c r="B25" s="135"/>
      <c r="C25" s="99"/>
    </row>
    <row r="26" spans="1:4">
      <c r="A26" s="107">
        <v>40513</v>
      </c>
      <c r="B26" s="135"/>
      <c r="C26" s="99"/>
    </row>
    <row r="27" spans="1:4">
      <c r="A27" s="107">
        <v>40544</v>
      </c>
      <c r="B27" s="135"/>
      <c r="C27" s="99"/>
    </row>
    <row r="28" spans="1:4">
      <c r="A28" s="107">
        <v>40575</v>
      </c>
      <c r="B28" s="135"/>
      <c r="C28" s="99"/>
    </row>
    <row r="29" spans="1:4">
      <c r="A29" s="107">
        <v>40603</v>
      </c>
      <c r="B29" s="135"/>
      <c r="C29" s="99"/>
    </row>
    <row r="30" spans="1:4" ht="13.5" thickBot="1">
      <c r="A30" s="108">
        <v>40634</v>
      </c>
      <c r="B30" s="136"/>
      <c r="C30" s="128"/>
    </row>
    <row r="31" spans="1:4" ht="13.5" thickBot="1"/>
    <row r="32" spans="1:4" ht="13.5" thickBot="1">
      <c r="A32" s="139" t="s">
        <v>177</v>
      </c>
      <c r="B32" s="138">
        <f t="shared" ref="B32" si="0">SUM(B3:B31)</f>
        <v>3454.12</v>
      </c>
      <c r="C32" s="102">
        <f>SUM(C3:C31)</f>
        <v>418073.78</v>
      </c>
      <c r="D32" s="103">
        <f>SUM(B32:C32)</f>
        <v>421527.9</v>
      </c>
    </row>
  </sheetData>
  <mergeCells count="1">
    <mergeCell ref="B1:C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57"/>
  <sheetViews>
    <sheetView topLeftCell="A34" workbookViewId="0">
      <selection activeCell="S19" sqref="S19"/>
    </sheetView>
  </sheetViews>
  <sheetFormatPr baseColWidth="10" defaultRowHeight="12.75"/>
  <cols>
    <col min="2" max="2" width="13.7109375" bestFit="1" customWidth="1"/>
    <col min="3" max="3" width="16.140625" bestFit="1" customWidth="1"/>
    <col min="12" max="12" width="13" bestFit="1" customWidth="1"/>
    <col min="13" max="13" width="11" customWidth="1"/>
    <col min="28" max="28" width="14.42578125" bestFit="1" customWidth="1"/>
    <col min="31" max="31" width="12.42578125" bestFit="1" customWidth="1"/>
    <col min="39" max="39" width="11.7109375" bestFit="1" customWidth="1"/>
  </cols>
  <sheetData>
    <row r="1" spans="1:39">
      <c r="A1" s="1" t="s">
        <v>0</v>
      </c>
      <c r="C1" s="1" t="s">
        <v>4</v>
      </c>
    </row>
    <row r="2" spans="1:39">
      <c r="A2" s="1" t="s">
        <v>1</v>
      </c>
      <c r="B2" s="1" t="s">
        <v>5</v>
      </c>
      <c r="C2" s="1"/>
    </row>
    <row r="3" spans="1:39" ht="13.5" thickBot="1">
      <c r="B3" s="2"/>
      <c r="C3" s="2">
        <v>19200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9" ht="13.5" thickBot="1">
      <c r="A4" s="1" t="s">
        <v>5</v>
      </c>
      <c r="B4" s="25" t="s">
        <v>89</v>
      </c>
      <c r="C4" s="25" t="s">
        <v>90</v>
      </c>
      <c r="D4" s="87" t="s">
        <v>94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90" t="s">
        <v>109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8"/>
      <c r="AJ4" s="25" t="s">
        <v>110</v>
      </c>
      <c r="AK4" t="s">
        <v>17</v>
      </c>
      <c r="AM4" t="s">
        <v>2</v>
      </c>
    </row>
    <row r="5" spans="1:39" ht="13.5" thickBot="1">
      <c r="B5" s="27" t="s">
        <v>135</v>
      </c>
      <c r="C5" s="27" t="s">
        <v>33</v>
      </c>
      <c r="D5" s="23" t="s">
        <v>51</v>
      </c>
      <c r="E5" s="24" t="s">
        <v>91</v>
      </c>
      <c r="F5" s="24" t="s">
        <v>75</v>
      </c>
      <c r="G5" s="24" t="s">
        <v>92</v>
      </c>
      <c r="H5" s="24" t="s">
        <v>93</v>
      </c>
      <c r="I5" s="24" t="s">
        <v>72</v>
      </c>
      <c r="J5" s="24" t="s">
        <v>69</v>
      </c>
      <c r="K5" s="24" t="s">
        <v>102</v>
      </c>
      <c r="L5" s="24" t="s">
        <v>71</v>
      </c>
      <c r="M5" s="24" t="s">
        <v>107</v>
      </c>
      <c r="N5" s="24" t="s">
        <v>83</v>
      </c>
      <c r="O5" s="24" t="s">
        <v>108</v>
      </c>
      <c r="P5" s="24" t="s">
        <v>106</v>
      </c>
      <c r="Q5" s="24" t="s">
        <v>87</v>
      </c>
      <c r="R5" s="24" t="s">
        <v>165</v>
      </c>
      <c r="S5" s="24" t="s">
        <v>274</v>
      </c>
      <c r="T5" s="26" t="s">
        <v>96</v>
      </c>
      <c r="U5" s="23" t="s">
        <v>97</v>
      </c>
      <c r="V5" s="24" t="s">
        <v>98</v>
      </c>
      <c r="W5" s="24" t="s">
        <v>63</v>
      </c>
      <c r="X5" s="24" t="s">
        <v>99</v>
      </c>
      <c r="Y5" s="24" t="s">
        <v>100</v>
      </c>
      <c r="Z5" s="24" t="s">
        <v>101</v>
      </c>
      <c r="AA5" s="24" t="s">
        <v>112</v>
      </c>
      <c r="AB5" s="24" t="s">
        <v>154</v>
      </c>
      <c r="AC5" s="24" t="s">
        <v>113</v>
      </c>
      <c r="AD5" s="24" t="s">
        <v>103</v>
      </c>
      <c r="AE5" s="24" t="s">
        <v>104</v>
      </c>
      <c r="AF5" s="24" t="s">
        <v>88</v>
      </c>
      <c r="AG5" s="24" t="s">
        <v>105</v>
      </c>
      <c r="AH5" s="24" t="s">
        <v>255</v>
      </c>
      <c r="AI5" s="24" t="s">
        <v>272</v>
      </c>
      <c r="AJ5" s="26" t="s">
        <v>111</v>
      </c>
    </row>
    <row r="6" spans="1:39">
      <c r="B6" s="28" t="s">
        <v>131</v>
      </c>
      <c r="C6" s="28"/>
      <c r="D6" s="28" t="s">
        <v>138</v>
      </c>
      <c r="E6" s="28" t="s">
        <v>139</v>
      </c>
      <c r="F6" s="28" t="s">
        <v>141</v>
      </c>
      <c r="G6" s="30" t="s">
        <v>142</v>
      </c>
      <c r="H6" s="28" t="s">
        <v>145</v>
      </c>
      <c r="I6" s="28" t="s">
        <v>146</v>
      </c>
      <c r="J6" s="30" t="s">
        <v>147</v>
      </c>
      <c r="K6" s="30" t="s">
        <v>150</v>
      </c>
      <c r="L6" s="28" t="s">
        <v>25</v>
      </c>
      <c r="M6" s="28" t="s">
        <v>47</v>
      </c>
      <c r="N6" s="28" t="s">
        <v>41</v>
      </c>
      <c r="O6" s="28" t="s">
        <v>42</v>
      </c>
      <c r="P6" s="28" t="s">
        <v>61</v>
      </c>
      <c r="Q6" s="28" t="s">
        <v>60</v>
      </c>
      <c r="R6" s="28" t="s">
        <v>43</v>
      </c>
      <c r="S6" s="28" t="s">
        <v>273</v>
      </c>
      <c r="T6" s="28" t="s">
        <v>151</v>
      </c>
      <c r="U6" s="28" t="s">
        <v>163</v>
      </c>
      <c r="V6" s="28" t="s">
        <v>162</v>
      </c>
      <c r="W6" s="30" t="s">
        <v>160</v>
      </c>
      <c r="X6" s="28" t="s">
        <v>170</v>
      </c>
      <c r="Y6" s="28" t="s">
        <v>28</v>
      </c>
      <c r="Z6" s="28" t="s">
        <v>21</v>
      </c>
      <c r="AA6" s="30" t="s">
        <v>155</v>
      </c>
      <c r="AB6" s="28" t="s">
        <v>29</v>
      </c>
      <c r="AC6" s="28" t="s">
        <v>37</v>
      </c>
      <c r="AD6" s="28" t="s">
        <v>24</v>
      </c>
      <c r="AE6" s="28" t="s">
        <v>30</v>
      </c>
      <c r="AF6" s="28" t="s">
        <v>153</v>
      </c>
      <c r="AG6" s="28" t="s">
        <v>164</v>
      </c>
      <c r="AH6" s="28" t="s">
        <v>200</v>
      </c>
      <c r="AI6" s="28" t="s">
        <v>273</v>
      </c>
      <c r="AJ6" s="28" t="s">
        <v>152</v>
      </c>
    </row>
    <row r="7" spans="1:39">
      <c r="B7" s="28" t="s">
        <v>134</v>
      </c>
      <c r="C7" s="28"/>
      <c r="D7" s="28"/>
      <c r="E7" s="28" t="s">
        <v>140</v>
      </c>
      <c r="F7" s="28"/>
      <c r="G7" s="30" t="s">
        <v>143</v>
      </c>
      <c r="H7" s="28"/>
      <c r="I7" s="28"/>
      <c r="J7" s="30" t="s">
        <v>148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30" t="s">
        <v>161</v>
      </c>
      <c r="X7" s="28" t="s">
        <v>158</v>
      </c>
      <c r="Y7" s="28"/>
      <c r="Z7" s="28"/>
      <c r="AA7" s="30" t="s">
        <v>156</v>
      </c>
      <c r="AB7" s="28"/>
      <c r="AC7" s="28"/>
      <c r="AD7" s="28"/>
      <c r="AE7" s="28"/>
      <c r="AF7" s="28" t="s">
        <v>27</v>
      </c>
      <c r="AG7" s="28"/>
      <c r="AH7" s="28"/>
      <c r="AI7" s="28"/>
      <c r="AJ7" s="28" t="s">
        <v>22</v>
      </c>
    </row>
    <row r="8" spans="1:39">
      <c r="B8" s="28" t="s">
        <v>136</v>
      </c>
      <c r="C8" s="28"/>
      <c r="D8" s="28"/>
      <c r="E8" s="28"/>
      <c r="F8" s="28"/>
      <c r="G8" s="30" t="s">
        <v>144</v>
      </c>
      <c r="H8" s="28"/>
      <c r="I8" s="28"/>
      <c r="J8" s="30" t="s">
        <v>149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 t="s">
        <v>201</v>
      </c>
      <c r="X8" s="28" t="s">
        <v>38</v>
      </c>
      <c r="Y8" s="28"/>
      <c r="Z8" s="28"/>
      <c r="AA8" s="30" t="s">
        <v>157</v>
      </c>
      <c r="AB8" s="28"/>
      <c r="AC8" s="28"/>
      <c r="AD8" s="28"/>
      <c r="AE8" s="28"/>
      <c r="AF8" s="28"/>
      <c r="AG8" s="28"/>
      <c r="AH8" s="28"/>
      <c r="AI8" s="28"/>
      <c r="AJ8" s="28"/>
    </row>
    <row r="9" spans="1:39" ht="13.5" thickBot="1">
      <c r="B9" s="29" t="s">
        <v>137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 t="s">
        <v>159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9">
      <c r="A10" s="5">
        <v>40026</v>
      </c>
      <c r="B10" s="2">
        <v>11887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AK10" s="2">
        <f>Feuil1!CI14</f>
        <v>0</v>
      </c>
      <c r="AM10" s="2">
        <f>SUM(B10:AL10)</f>
        <v>11887</v>
      </c>
    </row>
    <row r="11" spans="1:39">
      <c r="A11" s="5">
        <v>40057</v>
      </c>
      <c r="B11" s="2">
        <v>98428.75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f>Feuil1!M15+Feuil1!AJ15+Feuil1!AM15+Feuil1!AO15+Feuil1!AW15</f>
        <v>6087.25</v>
      </c>
      <c r="Y11" s="2"/>
      <c r="AJ11" s="2"/>
      <c r="AK11" s="2">
        <f>Feuil1!CI15</f>
        <v>84925.75</v>
      </c>
      <c r="AM11" s="2">
        <f>SUM(B11:AL11)</f>
        <v>189441.75</v>
      </c>
    </row>
    <row r="12" spans="1:39">
      <c r="A12" s="5">
        <v>40087</v>
      </c>
      <c r="B12" s="2">
        <v>118575.44</v>
      </c>
      <c r="C12" s="2"/>
      <c r="D12" s="2">
        <f>Feuil1!N16</f>
        <v>14336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f>Feuil1!L16</f>
        <v>2550</v>
      </c>
      <c r="V12" s="2"/>
      <c r="W12" s="2"/>
      <c r="X12" s="2">
        <f>Feuil1!M16+Feuil1!AJ16+Feuil1!AM16+Feuil1!AO16+Feuil1!AW16</f>
        <v>0</v>
      </c>
      <c r="Y12" s="2"/>
      <c r="AJ12" s="2"/>
      <c r="AK12" s="2">
        <f>Feuil1!CI16</f>
        <v>352538.15</v>
      </c>
      <c r="AM12" s="2">
        <f t="shared" ref="AM12:AM25" si="0">SUM(B12:AL12)</f>
        <v>487999.59</v>
      </c>
    </row>
    <row r="13" spans="1:39">
      <c r="A13" s="5">
        <v>40118</v>
      </c>
      <c r="B13" s="2">
        <v>98199.46</v>
      </c>
      <c r="C13" s="2"/>
      <c r="D13" s="2">
        <f>Feuil1!N17</f>
        <v>43617.82</v>
      </c>
      <c r="E13" s="2">
        <f>Feuil1!P17+Feuil1!T17</f>
        <v>1921.96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>
        <f>Feuil1!Q17</f>
        <v>2497.5</v>
      </c>
      <c r="U13" s="2">
        <f>Feuil1!L17</f>
        <v>0</v>
      </c>
      <c r="V13" s="2">
        <f>Feuil1!O17</f>
        <v>21025.19</v>
      </c>
      <c r="W13" s="2"/>
      <c r="X13" s="2">
        <f>Feuil1!M17+Feuil1!AJ17+Feuil1!AM17+Feuil1!AO17+Feuil1!AW17</f>
        <v>20666.89</v>
      </c>
      <c r="Y13" s="2"/>
      <c r="Z13" s="2">
        <f>Feuil1!R17</f>
        <v>21723.18</v>
      </c>
      <c r="AA13" s="2"/>
      <c r="AB13" s="2"/>
      <c r="AC13" s="2"/>
      <c r="AJ13" s="2"/>
      <c r="AK13" s="2">
        <f>Feuil1!CI17</f>
        <v>-209652</v>
      </c>
      <c r="AM13" s="2">
        <f t="shared" si="0"/>
        <v>0</v>
      </c>
    </row>
    <row r="14" spans="1:39">
      <c r="A14" s="5">
        <v>40148</v>
      </c>
      <c r="B14" s="2">
        <v>97830.93</v>
      </c>
      <c r="C14" s="2">
        <f>Feuil1!AH18</f>
        <v>4800</v>
      </c>
      <c r="D14" s="2">
        <f>Feuil1!N18</f>
        <v>203933.55</v>
      </c>
      <c r="E14" s="2">
        <f>Feuil1!P18+Feuil1!T18</f>
        <v>2798.48</v>
      </c>
      <c r="F14" s="2">
        <f>Feuil1!AB18</f>
        <v>3850.82</v>
      </c>
      <c r="G14" s="2">
        <f>Feuil1!AF18</f>
        <v>11118.8</v>
      </c>
      <c r="H14" s="2"/>
      <c r="I14" s="2">
        <f>Feuil1!W18</f>
        <v>6260</v>
      </c>
      <c r="J14" s="2">
        <f>Feuil1!V18</f>
        <v>1196.6400000000001</v>
      </c>
      <c r="K14" s="2">
        <f>Feuil1!S18</f>
        <v>463.65</v>
      </c>
      <c r="L14" s="2">
        <f>Feuil1!Y18</f>
        <v>2304.4</v>
      </c>
      <c r="M14" s="2"/>
      <c r="N14" s="2"/>
      <c r="O14" s="2"/>
      <c r="P14" s="2">
        <f>Feuil1!AI18</f>
        <v>200</v>
      </c>
      <c r="Q14" s="2"/>
      <c r="R14" s="2"/>
      <c r="S14" s="2"/>
      <c r="T14" s="2">
        <f>Feuil1!Q18</f>
        <v>35</v>
      </c>
      <c r="U14" s="2">
        <f>Feuil1!L18</f>
        <v>4800</v>
      </c>
      <c r="V14" s="2">
        <f>Feuil1!O18</f>
        <v>2500</v>
      </c>
      <c r="W14" s="2"/>
      <c r="X14" s="2">
        <f>Feuil1!M18+Feuil1!AJ18+Feuil1!AM18+Feuil1!AO18+Feuil1!AW18</f>
        <v>5464.85</v>
      </c>
      <c r="Y14" s="2">
        <f>Feuil1!AC18</f>
        <v>235048.92</v>
      </c>
      <c r="Z14" s="2">
        <f>Feuil1!R18</f>
        <v>0</v>
      </c>
      <c r="AA14" s="2">
        <f>Feuil1!AG18</f>
        <v>2295</v>
      </c>
      <c r="AB14" s="2">
        <f>+Feuil1!AD18</f>
        <v>16000</v>
      </c>
      <c r="AC14" s="2"/>
      <c r="AD14" s="2">
        <f>Feuil1!X18</f>
        <v>443.5</v>
      </c>
      <c r="AE14" s="2">
        <f>Feuil1!AE18</f>
        <v>36400</v>
      </c>
      <c r="AF14" s="2">
        <f>Feuil1!AA18+Feuil1!AU19</f>
        <v>959</v>
      </c>
      <c r="AG14" s="2">
        <f>Feuil1!Z18</f>
        <v>1380</v>
      </c>
      <c r="AH14" s="2"/>
      <c r="AI14" s="2"/>
      <c r="AJ14" s="2">
        <f>Feuil1!U18+Feuil1!CH18</f>
        <v>22604.07</v>
      </c>
      <c r="AK14" s="2">
        <f>Feuil1!CI18</f>
        <v>-131515.61000000007</v>
      </c>
      <c r="AM14" s="2">
        <f t="shared" si="0"/>
        <v>531171.99999999988</v>
      </c>
    </row>
    <row r="15" spans="1:39">
      <c r="A15" s="5">
        <v>40179</v>
      </c>
      <c r="B15" s="2">
        <v>91582.2</v>
      </c>
      <c r="C15" s="2">
        <f>Feuil1!AH19</f>
        <v>7200</v>
      </c>
      <c r="D15" s="2">
        <f>Feuil1!N19</f>
        <v>76128.94</v>
      </c>
      <c r="E15" s="2">
        <f>Feuil1!P19+Feuil1!T19</f>
        <v>1471.6399999999999</v>
      </c>
      <c r="F15" s="2">
        <f>Feuil1!AB19</f>
        <v>2839.68</v>
      </c>
      <c r="G15" s="2">
        <f>Feuil1!AF19</f>
        <v>17584.599999999999</v>
      </c>
      <c r="H15" s="2">
        <f>Feuil1!AK19</f>
        <v>21562.799999999999</v>
      </c>
      <c r="I15" s="2">
        <f>Feuil1!W19</f>
        <v>9495</v>
      </c>
      <c r="J15" s="2">
        <f>Feuil1!V19</f>
        <v>0</v>
      </c>
      <c r="K15" s="2">
        <f>Feuil1!S19</f>
        <v>140.69999999999999</v>
      </c>
      <c r="L15" s="2">
        <f>Feuil1!Y19</f>
        <v>0</v>
      </c>
      <c r="M15" s="2"/>
      <c r="N15" s="2">
        <f>Feuil1!AP19</f>
        <v>5386.7</v>
      </c>
      <c r="O15" s="2">
        <f>Feuil1!AQ19</f>
        <v>843</v>
      </c>
      <c r="P15" s="2">
        <f>Feuil1!AI19</f>
        <v>0</v>
      </c>
      <c r="Q15" s="2"/>
      <c r="R15" s="2"/>
      <c r="S15" s="2"/>
      <c r="T15" s="2">
        <f>Feuil1!Q19</f>
        <v>0</v>
      </c>
      <c r="U15" s="2">
        <f>Feuil1!L19</f>
        <v>670</v>
      </c>
      <c r="V15" s="2">
        <f>Feuil1!O19</f>
        <v>6212.3</v>
      </c>
      <c r="W15" s="2"/>
      <c r="X15" s="2">
        <f>Feuil1!M19+Feuil1!AJ19+Feuil1!AM19+Feuil1!AO19+Feuil1!AW19</f>
        <v>95315.08</v>
      </c>
      <c r="Y15" s="2">
        <f>Feuil1!AC19</f>
        <v>164268.01999999999</v>
      </c>
      <c r="Z15" s="2">
        <f>Feuil1!R19</f>
        <v>979</v>
      </c>
      <c r="AA15" s="2">
        <f>Feuil1!AG19</f>
        <v>0</v>
      </c>
      <c r="AB15" s="2">
        <f>+Feuil1!AD19</f>
        <v>0</v>
      </c>
      <c r="AC15" s="2">
        <f>Feuil1!AL19</f>
        <v>39257.69</v>
      </c>
      <c r="AD15" s="2">
        <f>Feuil1!X19</f>
        <v>1930</v>
      </c>
      <c r="AE15" s="2">
        <f>Feuil1!AE19</f>
        <v>0</v>
      </c>
      <c r="AF15" s="2">
        <f>Feuil1!AA19+Feuil1!AU20</f>
        <v>1166.76</v>
      </c>
      <c r="AG15" s="2">
        <f>Feuil1!Z19</f>
        <v>0</v>
      </c>
      <c r="AH15" s="2"/>
      <c r="AI15" s="2"/>
      <c r="AJ15" s="2">
        <f>Feuil1!U19+Feuil1!CH19</f>
        <v>119752.58</v>
      </c>
      <c r="AK15" s="2">
        <f>Feuil1!CI19</f>
        <v>-36071.810000000012</v>
      </c>
      <c r="AM15" s="2">
        <f t="shared" si="0"/>
        <v>627714.88</v>
      </c>
    </row>
    <row r="16" spans="1:39">
      <c r="A16" s="5">
        <v>40210</v>
      </c>
      <c r="B16" s="2">
        <v>82995.399999999994</v>
      </c>
      <c r="C16" s="2">
        <f>Feuil1!AH20</f>
        <v>0</v>
      </c>
      <c r="D16" s="2">
        <f>Feuil1!N20</f>
        <v>31680</v>
      </c>
      <c r="E16" s="2">
        <f>Feuil1!P20+Feuil1!T20</f>
        <v>2627.2</v>
      </c>
      <c r="F16" s="2">
        <f>Feuil1!AB20</f>
        <v>2561.2199999999998</v>
      </c>
      <c r="G16" s="2">
        <f>Feuil1!AF20</f>
        <v>24886.400000000001</v>
      </c>
      <c r="H16" s="2">
        <f>Feuil1!AK20</f>
        <v>0</v>
      </c>
      <c r="I16" s="2">
        <f>Feuil1!W20</f>
        <v>3155</v>
      </c>
      <c r="J16" s="2">
        <f>Feuil1!V20</f>
        <v>0</v>
      </c>
      <c r="K16" s="2">
        <f>Feuil1!S20</f>
        <v>0</v>
      </c>
      <c r="L16" s="2">
        <f>Feuil1!Y20</f>
        <v>35</v>
      </c>
      <c r="M16" s="2">
        <f>Feuil1!AS20</f>
        <v>1543.8300000000002</v>
      </c>
      <c r="N16" s="2">
        <f>Feuil1!AP20</f>
        <v>23768.5</v>
      </c>
      <c r="O16" s="2">
        <f>Feuil1!AQ20</f>
        <v>1922.76</v>
      </c>
      <c r="P16" s="2">
        <f>Feuil1!AI20</f>
        <v>0</v>
      </c>
      <c r="Q16" s="2">
        <f>Feuil1!AV20</f>
        <v>11800</v>
      </c>
      <c r="R16" s="2">
        <f>Feuil1!AR20</f>
        <v>6302.6</v>
      </c>
      <c r="S16" s="2"/>
      <c r="T16" s="2">
        <f>Feuil1!Q20</f>
        <v>0</v>
      </c>
      <c r="U16" s="2">
        <f>Feuil1!L20</f>
        <v>0</v>
      </c>
      <c r="V16" s="2">
        <f>Feuil1!O20</f>
        <v>0</v>
      </c>
      <c r="W16" s="2">
        <f>Feuil1!AT20</f>
        <v>1200</v>
      </c>
      <c r="X16" s="2">
        <f>Feuil1!M20+Feuil1!AJ20+Feuil1!AM20+Feuil1!AO20+Feuil1!AW20</f>
        <v>9800</v>
      </c>
      <c r="Y16" s="2">
        <f>Feuil1!AC20</f>
        <v>145942.79999999999</v>
      </c>
      <c r="Z16" s="2">
        <f>Feuil1!R20</f>
        <v>0</v>
      </c>
      <c r="AA16" s="2">
        <f>Feuil1!AG20</f>
        <v>0</v>
      </c>
      <c r="AB16" s="2">
        <f>+Feuil1!AD20</f>
        <v>19630</v>
      </c>
      <c r="AC16" s="2">
        <f>Feuil1!AL20</f>
        <v>20400.080000000002</v>
      </c>
      <c r="AD16" s="2">
        <f>Feuil1!X20</f>
        <v>4680</v>
      </c>
      <c r="AE16" s="2">
        <f>Feuil1!AE20</f>
        <v>0</v>
      </c>
      <c r="AF16" s="2">
        <f>Feuil1!AA20+Feuil1!AU21</f>
        <v>4035.2799999999997</v>
      </c>
      <c r="AG16" s="2">
        <f>Feuil1!Z20</f>
        <v>0</v>
      </c>
      <c r="AH16" s="2"/>
      <c r="AI16" s="2"/>
      <c r="AJ16" s="2">
        <f>Feuil1!U20+Feuil1!CH20</f>
        <v>301815.73</v>
      </c>
      <c r="AK16" s="2">
        <f>Feuil1!CI20</f>
        <v>-65537.330000000016</v>
      </c>
      <c r="AM16" s="2">
        <f t="shared" si="0"/>
        <v>635244.47</v>
      </c>
    </row>
    <row r="17" spans="1:39">
      <c r="A17" s="5">
        <v>40238</v>
      </c>
      <c r="B17" s="2">
        <v>92673.02</v>
      </c>
      <c r="C17" s="2">
        <f>Feuil1!AH21</f>
        <v>0</v>
      </c>
      <c r="D17" s="2">
        <f>Feuil1!N21</f>
        <v>0</v>
      </c>
      <c r="E17" s="2">
        <f>Feuil1!P21+Feuil1!T21</f>
        <v>-7.96</v>
      </c>
      <c r="F17" s="2">
        <f>Feuil1!AB21</f>
        <v>0</v>
      </c>
      <c r="G17" s="2">
        <f>Feuil1!AF21</f>
        <v>0</v>
      </c>
      <c r="H17" s="2">
        <f>Feuil1!AK21</f>
        <v>0</v>
      </c>
      <c r="I17" s="2">
        <f>Feuil1!W21</f>
        <v>3450</v>
      </c>
      <c r="J17" s="2">
        <f>Feuil1!V21</f>
        <v>0</v>
      </c>
      <c r="K17" s="2">
        <f>Feuil1!S21</f>
        <v>0</v>
      </c>
      <c r="L17" s="2">
        <f>Feuil1!Y21</f>
        <v>0</v>
      </c>
      <c r="M17" s="2">
        <f>Feuil1!AS21</f>
        <v>0</v>
      </c>
      <c r="N17" s="2">
        <f>Feuil1!AP21</f>
        <v>0</v>
      </c>
      <c r="O17" s="2">
        <f>Feuil1!AQ21</f>
        <v>161.46</v>
      </c>
      <c r="P17" s="2">
        <f>Feuil1!AI21</f>
        <v>0</v>
      </c>
      <c r="Q17" s="2">
        <f>Feuil1!AV21</f>
        <v>0</v>
      </c>
      <c r="R17" s="2">
        <f>Feuil1!AR21</f>
        <v>0</v>
      </c>
      <c r="S17" s="2"/>
      <c r="T17" s="2">
        <f>Feuil1!Q21</f>
        <v>0</v>
      </c>
      <c r="U17" s="2">
        <f>Feuil1!L21</f>
        <v>0</v>
      </c>
      <c r="V17" s="2">
        <f>Feuil1!O21</f>
        <v>5381.38</v>
      </c>
      <c r="W17" s="2">
        <f>Feuil1!AT21</f>
        <v>0</v>
      </c>
      <c r="X17" s="2">
        <f>Feuil1!M21+Feuil1!AJ21+Feuil1!AM21+Feuil1!AO21+Feuil1!AW21</f>
        <v>170796.71</v>
      </c>
      <c r="Y17" s="2">
        <f>Feuil1!AC21</f>
        <v>12384.6</v>
      </c>
      <c r="Z17" s="2">
        <f>Feuil1!R21</f>
        <v>20153.879999999997</v>
      </c>
      <c r="AA17" s="2">
        <f>Feuil1!AG21</f>
        <v>0</v>
      </c>
      <c r="AB17" s="2">
        <f>+Feuil1!AD21</f>
        <v>0</v>
      </c>
      <c r="AC17" s="2">
        <f>Feuil1!AL21</f>
        <v>0</v>
      </c>
      <c r="AD17" s="2">
        <f>Feuil1!X21</f>
        <v>5295</v>
      </c>
      <c r="AE17" s="2">
        <f>Feuil1!AE21</f>
        <v>9100</v>
      </c>
      <c r="AF17" s="2">
        <f>Feuil1!AA21+Feuil1!AU22</f>
        <v>0</v>
      </c>
      <c r="AG17" s="2">
        <f>Feuil1!Z21</f>
        <v>1235</v>
      </c>
      <c r="AH17" s="2"/>
      <c r="AI17" s="2"/>
      <c r="AJ17" s="2">
        <f>Feuil1!U21+Feuil1!CH21</f>
        <v>27741.08</v>
      </c>
      <c r="AK17" s="2">
        <f>Feuil1!CI21</f>
        <v>13875.880000000077</v>
      </c>
      <c r="AM17" s="2">
        <f t="shared" si="0"/>
        <v>362240.05000000005</v>
      </c>
    </row>
    <row r="18" spans="1:39">
      <c r="A18" s="5">
        <v>40269</v>
      </c>
      <c r="B18" s="2">
        <v>81163.91</v>
      </c>
      <c r="C18" s="2">
        <f>Feuil1!AH22</f>
        <v>0</v>
      </c>
      <c r="D18" s="2">
        <f>Feuil1!N22</f>
        <v>0</v>
      </c>
      <c r="E18" s="2">
        <f>Feuil1!P22+Feuil1!T22</f>
        <v>0</v>
      </c>
      <c r="F18" s="2">
        <f>Feuil1!AB22</f>
        <v>0</v>
      </c>
      <c r="G18" s="2">
        <f>Feuil1!AF22</f>
        <v>0</v>
      </c>
      <c r="H18" s="2">
        <f>Feuil1!AK22</f>
        <v>0</v>
      </c>
      <c r="I18" s="2">
        <f>Feuil1!W22</f>
        <v>0</v>
      </c>
      <c r="J18" s="2">
        <f>Feuil1!V22</f>
        <v>0</v>
      </c>
      <c r="K18" s="2">
        <f>Feuil1!S22</f>
        <v>0</v>
      </c>
      <c r="L18" s="2">
        <f>Feuil1!Y22</f>
        <v>0</v>
      </c>
      <c r="M18" s="2">
        <f>Feuil1!AS22</f>
        <v>-1461.68</v>
      </c>
      <c r="N18" s="2">
        <f>Feuil1!AP22</f>
        <v>0</v>
      </c>
      <c r="O18" s="2">
        <f>Feuil1!AQ22</f>
        <v>-161.46</v>
      </c>
      <c r="P18" s="2">
        <f>Feuil1!AI22</f>
        <v>0</v>
      </c>
      <c r="Q18" s="2">
        <f>Feuil1!AV22</f>
        <v>0</v>
      </c>
      <c r="R18" s="2">
        <f>Feuil1!AR22</f>
        <v>0</v>
      </c>
      <c r="S18" s="2"/>
      <c r="T18" s="2">
        <f>Feuil1!Q22</f>
        <v>0</v>
      </c>
      <c r="U18" s="2">
        <f>Feuil1!L22</f>
        <v>4995</v>
      </c>
      <c r="V18" s="2">
        <f>Feuil1!O22</f>
        <v>450</v>
      </c>
      <c r="W18" s="2">
        <f>Feuil1!AT22</f>
        <v>0</v>
      </c>
      <c r="X18" s="2">
        <f>Feuil1!M22+Feuil1!AJ22+Feuil1!AM22+Feuil1!AO22+Feuil1!AW22</f>
        <v>89474.4</v>
      </c>
      <c r="Y18" s="2">
        <f>Feuil1!AC22</f>
        <v>0</v>
      </c>
      <c r="Z18" s="2">
        <f>Feuil1!R22</f>
        <v>-41877.06</v>
      </c>
      <c r="AA18" s="2">
        <f>Feuil1!AG22</f>
        <v>0</v>
      </c>
      <c r="AB18" s="2">
        <f>+Feuil1!AD22</f>
        <v>0</v>
      </c>
      <c r="AC18" s="2">
        <f>Feuil1!AL22</f>
        <v>-59657.770000000004</v>
      </c>
      <c r="AD18" s="2">
        <f>Feuil1!X22</f>
        <v>20419.560000000001</v>
      </c>
      <c r="AE18" s="2">
        <f>Feuil1!AE22</f>
        <v>0</v>
      </c>
      <c r="AF18" s="2">
        <f>Feuil1!AA22+Feuil1!AU23</f>
        <v>-565.28</v>
      </c>
      <c r="AG18" s="2">
        <f>Feuil1!Z22</f>
        <v>1150</v>
      </c>
      <c r="AH18" s="2"/>
      <c r="AI18" s="2"/>
      <c r="AJ18" s="2">
        <f>Feuil1!U22+Feuil1!CH22</f>
        <v>-150929.76</v>
      </c>
      <c r="AK18" s="2">
        <f>Feuil1!CI22</f>
        <v>116760.86000000002</v>
      </c>
      <c r="AM18" s="2">
        <f t="shared" si="0"/>
        <v>59760.719999999987</v>
      </c>
    </row>
    <row r="19" spans="1:39">
      <c r="A19" s="5">
        <v>40299</v>
      </c>
      <c r="B19" s="2">
        <v>57111.06</v>
      </c>
      <c r="C19" s="2">
        <f>Feuil1!AH23</f>
        <v>0</v>
      </c>
      <c r="D19" s="2">
        <f>Feuil1!N23</f>
        <v>0</v>
      </c>
      <c r="E19" s="2">
        <f>Feuil1!P23+Feuil1!T23</f>
        <v>0</v>
      </c>
      <c r="F19" s="2">
        <f>Feuil1!AB23</f>
        <v>3050.82</v>
      </c>
      <c r="G19" s="2">
        <f>Feuil1!AF23</f>
        <v>0</v>
      </c>
      <c r="H19" s="2">
        <f>Feuil1!AK23</f>
        <v>0</v>
      </c>
      <c r="I19" s="2">
        <f>Feuil1!W23</f>
        <v>0</v>
      </c>
      <c r="J19" s="2">
        <f>Feuil1!V23</f>
        <v>0</v>
      </c>
      <c r="K19" s="2">
        <f>Feuil1!S23</f>
        <v>0</v>
      </c>
      <c r="L19" s="2">
        <f>Feuil1!Y23</f>
        <v>0</v>
      </c>
      <c r="M19" s="2">
        <f>Feuil1!AS23</f>
        <v>1235.18</v>
      </c>
      <c r="N19" s="2">
        <f>Feuil1!AP23</f>
        <v>0</v>
      </c>
      <c r="O19" s="2">
        <f>Feuil1!AQ23</f>
        <v>0</v>
      </c>
      <c r="P19" s="2">
        <f>Feuil1!AI23</f>
        <v>0</v>
      </c>
      <c r="Q19" s="2">
        <f>Feuil1!AV23</f>
        <v>0</v>
      </c>
      <c r="R19" s="2">
        <f>Feuil1!AR23</f>
        <v>0</v>
      </c>
      <c r="S19" s="2">
        <f>Feuil1!AZ23+Feuil1!BC23+Feuil1!BF23+Feuil1!BH23+Feuil1!BI23+Feuil1!BJ23+Feuil1!BK23+Feuil1!BL23+Feuil1!BM23+Feuil1!BN23+Feuil1!BP23+Feuil1!BT23+Feuil1!BV23</f>
        <v>4682.8</v>
      </c>
      <c r="T19" s="2">
        <f>Feuil1!Q23</f>
        <v>0</v>
      </c>
      <c r="U19" s="2">
        <f>Feuil1!L23</f>
        <v>2500</v>
      </c>
      <c r="V19" s="2">
        <f>Feuil1!O23</f>
        <v>1550</v>
      </c>
      <c r="W19" s="2">
        <f>Feuil1!AT23+Feuil1!AY23</f>
        <v>9850.65</v>
      </c>
      <c r="X19" s="2">
        <f>Feuil1!M23+Feuil1!AJ23+Feuil1!AM23+Feuil1!AO23+Feuil1!AW23</f>
        <v>0</v>
      </c>
      <c r="Y19" s="2">
        <f>Feuil1!AC23</f>
        <v>0</v>
      </c>
      <c r="Z19" s="2">
        <f>Feuil1!R23</f>
        <v>0</v>
      </c>
      <c r="AA19" s="2">
        <f>Feuil1!AG23</f>
        <v>0</v>
      </c>
      <c r="AB19" s="2">
        <f>+Feuil1!AD23</f>
        <v>4515</v>
      </c>
      <c r="AC19" s="2">
        <f>Feuil1!AL23</f>
        <v>0</v>
      </c>
      <c r="AD19" s="2">
        <f>Feuil1!X23</f>
        <v>40932.42</v>
      </c>
      <c r="AE19" s="2">
        <f>Feuil1!AE23</f>
        <v>0</v>
      </c>
      <c r="AF19" s="2">
        <f>Feuil1!AA23+Feuil1!AU24</f>
        <v>0</v>
      </c>
      <c r="AG19" s="2">
        <f>Feuil1!Z23</f>
        <v>-1150</v>
      </c>
      <c r="AH19" s="2">
        <f>+Feuil1!AX23</f>
        <v>6924.25</v>
      </c>
      <c r="AI19" s="2">
        <f>Feuil1!BA23+Feuil1!BB23+Feuil1!BD23+Feuil1!BE23+Feuil1!BG23+Feuil1!BO23+Feuil1!BQ23+Feuil1!BR23+Feuil1!BS23+Feuil1!BU23+Feuil1!BW23</f>
        <v>27017.79</v>
      </c>
      <c r="AJ19" s="2">
        <f>Feuil1!U23+Feuil1!CH23</f>
        <v>100544.20000000001</v>
      </c>
      <c r="AK19" s="2">
        <f>Feuil1!CI23</f>
        <v>-47872.890000000007</v>
      </c>
      <c r="AM19" s="2">
        <f t="shared" si="0"/>
        <v>210891.28</v>
      </c>
    </row>
    <row r="20" spans="1:39">
      <c r="A20" s="5">
        <v>40330</v>
      </c>
      <c r="B20" s="2">
        <v>57876.14</v>
      </c>
      <c r="C20" s="2">
        <f>Feuil1!AH24</f>
        <v>0</v>
      </c>
      <c r="D20" s="2">
        <f>Feuil1!N24</f>
        <v>0</v>
      </c>
      <c r="E20" s="2">
        <f>Feuil1!P24+Feuil1!T24</f>
        <v>0</v>
      </c>
      <c r="F20" s="2">
        <f>Feuil1!AB24</f>
        <v>0</v>
      </c>
      <c r="G20" s="2">
        <f>Feuil1!AF24</f>
        <v>0</v>
      </c>
      <c r="H20" s="2">
        <f>Feuil1!AK24</f>
        <v>0</v>
      </c>
      <c r="I20" s="2">
        <f>Feuil1!W24</f>
        <v>0</v>
      </c>
      <c r="J20" s="2">
        <f>Feuil1!V24</f>
        <v>0</v>
      </c>
      <c r="K20" s="2">
        <f>Feuil1!S24</f>
        <v>0</v>
      </c>
      <c r="L20" s="2">
        <f>Feuil1!Y24</f>
        <v>0</v>
      </c>
      <c r="M20" s="2">
        <f>Feuil1!AS24</f>
        <v>0</v>
      </c>
      <c r="N20" s="2">
        <f>Feuil1!AP24</f>
        <v>0</v>
      </c>
      <c r="O20" s="2">
        <f>Feuil1!AQ24</f>
        <v>0</v>
      </c>
      <c r="P20" s="2">
        <f>Feuil1!AI24</f>
        <v>0</v>
      </c>
      <c r="Q20" s="2">
        <f>Feuil1!AV24</f>
        <v>0</v>
      </c>
      <c r="R20" s="2">
        <f>Feuil1!AR24</f>
        <v>0</v>
      </c>
      <c r="S20" s="2">
        <f>Feuil1!AZ24+Feuil1!BC24+Feuil1!BF24+Feuil1!BH24+Feuil1!BI24+Feuil1!BJ24+Feuil1!BK24+Feuil1!BL24+Feuil1!BM24+Feuil1!BN24+Feuil1!BP24+Feuil1!BT24+Feuil1!BV24</f>
        <v>4566</v>
      </c>
      <c r="T20" s="2">
        <f>Feuil1!Q24</f>
        <v>0</v>
      </c>
      <c r="U20" s="2">
        <f>Feuil1!L24</f>
        <v>0</v>
      </c>
      <c r="V20" s="2">
        <f>Feuil1!O24</f>
        <v>0</v>
      </c>
      <c r="W20" s="2">
        <f>Feuil1!AT24+Feuil1!AY24</f>
        <v>2430</v>
      </c>
      <c r="X20" s="2">
        <f>Feuil1!M24+Feuil1!AJ24+Feuil1!AM24+Feuil1!AO24+Feuil1!AW24</f>
        <v>0</v>
      </c>
      <c r="Y20" s="2">
        <f>Feuil1!AC24</f>
        <v>0</v>
      </c>
      <c r="Z20" s="2">
        <f>Feuil1!R24</f>
        <v>0</v>
      </c>
      <c r="AA20" s="2">
        <f>Feuil1!AG24</f>
        <v>765</v>
      </c>
      <c r="AB20" s="2">
        <f>+Feuil1!AD24</f>
        <v>0</v>
      </c>
      <c r="AC20" s="2">
        <f>Feuil1!AL24</f>
        <v>0</v>
      </c>
      <c r="AD20" s="2">
        <f>Feuil1!X24</f>
        <v>0</v>
      </c>
      <c r="AE20" s="2">
        <f>Feuil1!AE24</f>
        <v>0</v>
      </c>
      <c r="AF20" s="2">
        <f>Feuil1!AA24+Feuil1!AU25</f>
        <v>0</v>
      </c>
      <c r="AG20" s="2">
        <f>Feuil1!Z24</f>
        <v>0</v>
      </c>
      <c r="AH20" s="2">
        <f>+Feuil1!AX24</f>
        <v>1400</v>
      </c>
      <c r="AI20" s="2">
        <f>Feuil1!BA24+Feuil1!BB24+Feuil1!BD24+Feuil1!BE24+Feuil1!BG24+Feuil1!BO24+Feuil1!BQ24+Feuil1!BR24+Feuil1!BS24+Feuil1!BU24+Feuil1!BW24</f>
        <v>45378.509999999995</v>
      </c>
      <c r="AJ20" s="2">
        <f>Feuil1!U24+Feuil1!CH24</f>
        <v>0</v>
      </c>
      <c r="AK20" s="2">
        <f>Feuil1!CI24</f>
        <v>223629.81999999995</v>
      </c>
      <c r="AM20" s="2">
        <f t="shared" si="0"/>
        <v>336045.47</v>
      </c>
    </row>
    <row r="21" spans="1:39">
      <c r="A21" s="5">
        <v>40360</v>
      </c>
      <c r="B21" s="2">
        <v>42059.57</v>
      </c>
      <c r="C21" s="2">
        <f>Feuil1!AH25</f>
        <v>0</v>
      </c>
      <c r="D21" s="2">
        <f>Feuil1!N25</f>
        <v>14625</v>
      </c>
      <c r="E21" s="2">
        <f>Feuil1!P25+Feuil1!T25</f>
        <v>0</v>
      </c>
      <c r="F21" s="2">
        <f>Feuil1!AB25</f>
        <v>0</v>
      </c>
      <c r="G21" s="2">
        <f>Feuil1!AF25</f>
        <v>0</v>
      </c>
      <c r="H21" s="2">
        <f>Feuil1!AK25</f>
        <v>0</v>
      </c>
      <c r="I21" s="2">
        <f>Feuil1!W25</f>
        <v>0</v>
      </c>
      <c r="J21" s="2">
        <f>Feuil1!V25</f>
        <v>0</v>
      </c>
      <c r="K21" s="2">
        <f>Feuil1!S25</f>
        <v>0</v>
      </c>
      <c r="L21" s="2">
        <f>Feuil1!Y25</f>
        <v>0</v>
      </c>
      <c r="M21" s="2">
        <f>Feuil1!AS25</f>
        <v>0</v>
      </c>
      <c r="N21" s="2">
        <f>Feuil1!AP25</f>
        <v>0</v>
      </c>
      <c r="O21" s="2">
        <f>Feuil1!AQ25</f>
        <v>0</v>
      </c>
      <c r="P21" s="2">
        <f>Feuil1!AI25</f>
        <v>0</v>
      </c>
      <c r="Q21" s="2">
        <f>Feuil1!AV25</f>
        <v>0</v>
      </c>
      <c r="R21" s="2">
        <f>Feuil1!AR25</f>
        <v>0</v>
      </c>
      <c r="S21" s="2">
        <f>Feuil1!AZ25+Feuil1!BC25+Feuil1!BF25+Feuil1!BH25+Feuil1!BI25+Feuil1!BJ25+Feuil1!BK25+Feuil1!BL25+Feuil1!BM25+Feuil1!BN25+Feuil1!BP25+Feuil1!BT25+Feuil1!BV25</f>
        <v>11271.7</v>
      </c>
      <c r="T21" s="2">
        <f>Feuil1!Q25</f>
        <v>0</v>
      </c>
      <c r="U21" s="2">
        <f>Feuil1!L25</f>
        <v>11955</v>
      </c>
      <c r="V21" s="2">
        <f>Feuil1!O25</f>
        <v>0</v>
      </c>
      <c r="W21" s="2">
        <f>Feuil1!AT25+Feuil1!AY25</f>
        <v>130240</v>
      </c>
      <c r="X21" s="2">
        <f>Feuil1!M25+Feuil1!AJ25+Feuil1!AM25+Feuil1!AO25+Feuil1!AW25</f>
        <v>0</v>
      </c>
      <c r="Y21" s="2">
        <f>Feuil1!AC25</f>
        <v>0</v>
      </c>
      <c r="Z21" s="2">
        <f>Feuil1!R25</f>
        <v>0</v>
      </c>
      <c r="AA21" s="2">
        <f>Feuil1!AG25</f>
        <v>0</v>
      </c>
      <c r="AB21" s="2">
        <f>+Feuil1!AD25</f>
        <v>0</v>
      </c>
      <c r="AC21" s="2">
        <f>Feuil1!AL25</f>
        <v>0</v>
      </c>
      <c r="AD21" s="2">
        <f>Feuil1!X25</f>
        <v>37214</v>
      </c>
      <c r="AE21" s="2">
        <f>Feuil1!AE25</f>
        <v>0</v>
      </c>
      <c r="AF21" s="2">
        <f>Feuil1!AA25+Feuil1!AU26</f>
        <v>0</v>
      </c>
      <c r="AG21" s="2">
        <f>Feuil1!Z25</f>
        <v>0</v>
      </c>
      <c r="AH21" s="2">
        <f>+Feuil1!AX25</f>
        <v>0</v>
      </c>
      <c r="AI21" s="2">
        <f>Feuil1!BA25+Feuil1!BB25+Feuil1!BD25+Feuil1!BE25+Feuil1!BG25+Feuil1!BO25+Feuil1!BQ25+Feuil1!BR25+Feuil1!BS25+Feuil1!BU25+Feuil1!BW25</f>
        <v>47715.979999999996</v>
      </c>
      <c r="AJ21" s="2">
        <f>Feuil1!U25+Feuil1!CH25</f>
        <v>0</v>
      </c>
      <c r="AK21" s="2">
        <f>Feuil1!CI25</f>
        <v>-151037.20000000001</v>
      </c>
      <c r="AM21" s="2">
        <f t="shared" si="0"/>
        <v>144044.04999999999</v>
      </c>
    </row>
    <row r="22" spans="1:39">
      <c r="A22" s="5">
        <v>40391</v>
      </c>
      <c r="B22" s="2">
        <v>50833.63</v>
      </c>
      <c r="C22" s="2">
        <f>Feuil1!AH26</f>
        <v>0</v>
      </c>
      <c r="D22" s="2">
        <f>Feuil1!N26</f>
        <v>0</v>
      </c>
      <c r="E22" s="2">
        <f>Feuil1!P26+Feuil1!T26</f>
        <v>0</v>
      </c>
      <c r="F22" s="2">
        <f>Feuil1!AB26</f>
        <v>0</v>
      </c>
      <c r="G22" s="2">
        <f>Feuil1!AF26</f>
        <v>0</v>
      </c>
      <c r="H22" s="2">
        <f>Feuil1!AK26</f>
        <v>0</v>
      </c>
      <c r="I22" s="2">
        <f>Feuil1!W26</f>
        <v>0</v>
      </c>
      <c r="J22" s="2">
        <f>Feuil1!V26</f>
        <v>0</v>
      </c>
      <c r="K22" s="2">
        <f>Feuil1!S26</f>
        <v>0</v>
      </c>
      <c r="L22" s="2">
        <f>Feuil1!Y26</f>
        <v>0</v>
      </c>
      <c r="M22" s="2">
        <f>Feuil1!AS26</f>
        <v>43.22</v>
      </c>
      <c r="N22" s="2">
        <f>Feuil1!AP26</f>
        <v>0</v>
      </c>
      <c r="O22" s="2">
        <f>Feuil1!AQ26</f>
        <v>40000</v>
      </c>
      <c r="P22" s="2">
        <f>Feuil1!AI26</f>
        <v>0</v>
      </c>
      <c r="Q22" s="2">
        <f>Feuil1!AV26</f>
        <v>0</v>
      </c>
      <c r="R22" s="2">
        <f>Feuil1!AR26</f>
        <v>0</v>
      </c>
      <c r="S22" s="2">
        <f>Feuil1!AZ26+Feuil1!BC26+Feuil1!BF26+Feuil1!BH26+Feuil1!BI26+Feuil1!BJ26+Feuil1!BK26+Feuil1!BL26+Feuil1!BM26+Feuil1!BN26+Feuil1!BP26+Feuil1!BT26+Feuil1!BV26</f>
        <v>17378.96</v>
      </c>
      <c r="T22" s="2">
        <f>Feuil1!Q26</f>
        <v>0</v>
      </c>
      <c r="U22" s="2">
        <f>Feuil1!L26</f>
        <v>0</v>
      </c>
      <c r="V22" s="2">
        <f>Feuil1!O26</f>
        <v>0</v>
      </c>
      <c r="W22" s="2">
        <f>Feuil1!AT26+Feuil1!AY26</f>
        <v>0</v>
      </c>
      <c r="X22" s="2">
        <f>Feuil1!M26+Feuil1!AJ26+Feuil1!AM26+Feuil1!AO26+Feuil1!AW26</f>
        <v>13942</v>
      </c>
      <c r="Y22" s="2">
        <f>Feuil1!AC26</f>
        <v>0</v>
      </c>
      <c r="Z22" s="2">
        <f>Feuil1!R26</f>
        <v>0</v>
      </c>
      <c r="AA22" s="2">
        <f>Feuil1!AG26</f>
        <v>0</v>
      </c>
      <c r="AB22" s="2">
        <f>+Feuil1!AD26</f>
        <v>0</v>
      </c>
      <c r="AC22" s="2">
        <f>Feuil1!AL26</f>
        <v>0</v>
      </c>
      <c r="AD22" s="2">
        <f>Feuil1!X26</f>
        <v>0</v>
      </c>
      <c r="AE22" s="2">
        <f>Feuil1!AE26</f>
        <v>0</v>
      </c>
      <c r="AF22" s="2">
        <f>Feuil1!AA26+Feuil1!AU27</f>
        <v>0</v>
      </c>
      <c r="AG22" s="2">
        <f>Feuil1!Z26</f>
        <v>0</v>
      </c>
      <c r="AH22" s="2">
        <f>+Feuil1!AX26</f>
        <v>0</v>
      </c>
      <c r="AI22" s="2">
        <f>Feuil1!BA26+Feuil1!BB26+Feuil1!BD26+Feuil1!BE26+Feuil1!BG26+Feuil1!BO26+Feuil1!BQ26+Feuil1!BR26+Feuil1!BS26+Feuil1!BU26+Feuil1!BW26</f>
        <v>-12314.48</v>
      </c>
      <c r="AJ22" s="2">
        <f>Feuil1!U26+Feuil1!CH26</f>
        <v>0</v>
      </c>
      <c r="AK22" s="2">
        <f>Feuil1!CI26</f>
        <v>-12405.350000000004</v>
      </c>
      <c r="AM22" s="2">
        <f t="shared" si="0"/>
        <v>97477.98</v>
      </c>
    </row>
    <row r="23" spans="1:39">
      <c r="A23" s="5">
        <v>40422</v>
      </c>
      <c r="B23" s="2">
        <v>50261.46</v>
      </c>
      <c r="C23" s="2">
        <f>Feuil1!AH27</f>
        <v>0</v>
      </c>
      <c r="D23" s="2">
        <f>Feuil1!N27</f>
        <v>0</v>
      </c>
      <c r="E23" s="2">
        <f>Feuil1!P27+Feuil1!T27</f>
        <v>0</v>
      </c>
      <c r="F23" s="2">
        <f>Feuil1!AB27</f>
        <v>0</v>
      </c>
      <c r="G23" s="2">
        <f>Feuil1!AF27</f>
        <v>0</v>
      </c>
      <c r="H23" s="2">
        <f>Feuil1!AK27</f>
        <v>0</v>
      </c>
      <c r="I23" s="2">
        <f>Feuil1!W27</f>
        <v>0</v>
      </c>
      <c r="J23" s="2">
        <f>Feuil1!V27</f>
        <v>0</v>
      </c>
      <c r="K23" s="2">
        <f>Feuil1!S27</f>
        <v>0</v>
      </c>
      <c r="L23" s="2">
        <f>Feuil1!Y27</f>
        <v>0</v>
      </c>
      <c r="M23" s="2">
        <f>Feuil1!AS27</f>
        <v>0</v>
      </c>
      <c r="N23" s="2">
        <f>Feuil1!AP27</f>
        <v>0</v>
      </c>
      <c r="O23" s="2">
        <f>Feuil1!AQ27</f>
        <v>0</v>
      </c>
      <c r="P23" s="2">
        <f>Feuil1!AI27</f>
        <v>0</v>
      </c>
      <c r="Q23" s="2">
        <f>Feuil1!AV27</f>
        <v>0</v>
      </c>
      <c r="R23" s="2">
        <f>Feuil1!AR27</f>
        <v>0</v>
      </c>
      <c r="S23" s="2">
        <f>Feuil1!AZ27+Feuil1!BC27+Feuil1!BF27+Feuil1!BH27+Feuil1!BI27+Feuil1!BJ27+Feuil1!BK27+Feuil1!BL27+Feuil1!BM27+Feuil1!BN27+Feuil1!BP27+Feuil1!BT27+Feuil1!BV27</f>
        <v>18602</v>
      </c>
      <c r="T23" s="2">
        <f>Feuil1!Q27</f>
        <v>0</v>
      </c>
      <c r="U23" s="2">
        <f>Feuil1!L27</f>
        <v>0</v>
      </c>
      <c r="V23" s="2">
        <f>Feuil1!O27</f>
        <v>0</v>
      </c>
      <c r="W23" s="2">
        <f>Feuil1!AT27+Feuil1!AY27</f>
        <v>0</v>
      </c>
      <c r="X23" s="2">
        <f>Feuil1!M27+Feuil1!AJ27+Feuil1!AM27+Feuil1!AO27+Feuil1!AW27</f>
        <v>1200</v>
      </c>
      <c r="Y23" s="2">
        <f>Feuil1!AC27</f>
        <v>0</v>
      </c>
      <c r="Z23" s="2">
        <f>Feuil1!R27</f>
        <v>-979</v>
      </c>
      <c r="AA23" s="2">
        <f>Feuil1!AG27</f>
        <v>0</v>
      </c>
      <c r="AB23" s="2">
        <f>+Feuil1!AD27</f>
        <v>0</v>
      </c>
      <c r="AC23" s="2">
        <f>Feuil1!AL27</f>
        <v>0</v>
      </c>
      <c r="AD23" s="2">
        <f>Feuil1!X27</f>
        <v>19817.04</v>
      </c>
      <c r="AE23" s="2">
        <f>Feuil1!AE27</f>
        <v>0</v>
      </c>
      <c r="AF23" s="2">
        <f>Feuil1!AA27+Feuil1!AU28</f>
        <v>0</v>
      </c>
      <c r="AG23" s="2">
        <f>Feuil1!Z27</f>
        <v>0</v>
      </c>
      <c r="AH23" s="2">
        <f>+Feuil1!AX27</f>
        <v>0</v>
      </c>
      <c r="AI23" s="2">
        <f>Feuil1!BA27+Feuil1!BB27+Feuil1!BD27+Feuil1!BE27+Feuil1!BG27+Feuil1!BO27+Feuil1!BQ27+Feuil1!BR27+Feuil1!BS27+Feuil1!BU27+Feuil1!BW27</f>
        <v>46535.430000000008</v>
      </c>
      <c r="AJ23" s="2">
        <f>Feuil1!U27+Feuil1!CH27</f>
        <v>0</v>
      </c>
      <c r="AK23" s="2">
        <f>Feuil1!CI27</f>
        <v>-37958.950000000004</v>
      </c>
      <c r="AM23" s="2">
        <f t="shared" si="0"/>
        <v>97477.979999999981</v>
      </c>
    </row>
    <row r="24" spans="1:39">
      <c r="A24" s="5">
        <v>40452</v>
      </c>
      <c r="B24" s="2">
        <v>51165.46</v>
      </c>
      <c r="C24" s="2">
        <f>Feuil1!AH28</f>
        <v>0</v>
      </c>
      <c r="D24" s="2">
        <f>Feuil1!N28</f>
        <v>0</v>
      </c>
      <c r="E24" s="2">
        <f>Feuil1!P28+Feuil1!T28</f>
        <v>0</v>
      </c>
      <c r="F24" s="2">
        <f>Feuil1!AB28</f>
        <v>0</v>
      </c>
      <c r="G24" s="2">
        <f>Feuil1!AF28</f>
        <v>0</v>
      </c>
      <c r="H24" s="2">
        <f>Feuil1!AK28</f>
        <v>0</v>
      </c>
      <c r="I24" s="2">
        <f>Feuil1!W28</f>
        <v>0</v>
      </c>
      <c r="J24" s="2">
        <f>Feuil1!V28</f>
        <v>0</v>
      </c>
      <c r="K24" s="2">
        <f>Feuil1!S28</f>
        <v>0</v>
      </c>
      <c r="L24" s="2">
        <f>Feuil1!Y28</f>
        <v>0</v>
      </c>
      <c r="M24" s="2">
        <f>Feuil1!AS28</f>
        <v>170.12</v>
      </c>
      <c r="N24" s="2">
        <f>Feuil1!AP28</f>
        <v>0</v>
      </c>
      <c r="O24" s="2">
        <f>Feuil1!AQ28</f>
        <v>0</v>
      </c>
      <c r="P24" s="2">
        <f>Feuil1!AI28</f>
        <v>0</v>
      </c>
      <c r="Q24" s="2">
        <f>Feuil1!AV28</f>
        <v>0</v>
      </c>
      <c r="R24" s="2">
        <f>Feuil1!AR28</f>
        <v>0</v>
      </c>
      <c r="S24" s="2">
        <f>Feuil1!AZ28+Feuil1!BC28+Feuil1!BF28+Feuil1!BH28+Feuil1!BI28+Feuil1!BJ28+Feuil1!BK28+Feuil1!BL28+Feuil1!BM28+Feuil1!BN28+Feuil1!BP28+Feuil1!BT28+Feuil1!BV28</f>
        <v>33267</v>
      </c>
      <c r="T24" s="2">
        <f>Feuil1!Q28</f>
        <v>0</v>
      </c>
      <c r="U24" s="2">
        <f>Feuil1!L28</f>
        <v>0</v>
      </c>
      <c r="V24" s="2">
        <f>Feuil1!O28</f>
        <v>0</v>
      </c>
      <c r="W24" s="2">
        <f>Feuil1!AT28+Feuil1!AY28</f>
        <v>822.6</v>
      </c>
      <c r="X24" s="2">
        <f>Feuil1!M28+Feuil1!AJ28+Feuil1!AM28+Feuil1!AO28+Feuil1!AW28</f>
        <v>2000</v>
      </c>
      <c r="Y24" s="2">
        <f>Feuil1!AC28</f>
        <v>0</v>
      </c>
      <c r="Z24" s="2">
        <f>Feuil1!R28</f>
        <v>0</v>
      </c>
      <c r="AA24" s="2">
        <f>Feuil1!AG28</f>
        <v>2473.5</v>
      </c>
      <c r="AB24" s="2">
        <f>+Feuil1!AD28</f>
        <v>0</v>
      </c>
      <c r="AC24" s="2">
        <f>Feuil1!AL28</f>
        <v>0</v>
      </c>
      <c r="AD24" s="2">
        <f>Feuil1!X28</f>
        <v>4041</v>
      </c>
      <c r="AE24" s="2">
        <f>Feuil1!AE28</f>
        <v>0</v>
      </c>
      <c r="AF24" s="2">
        <f>Feuil1!AA28+Feuil1!AU29</f>
        <v>0</v>
      </c>
      <c r="AG24" s="2">
        <f>Feuil1!Z28</f>
        <v>0</v>
      </c>
      <c r="AH24" s="2">
        <f>+Feuil1!AX28</f>
        <v>0</v>
      </c>
      <c r="AI24" s="2">
        <f>Feuil1!BA28+Feuil1!BB28+Feuil1!BD28+Feuil1!BE28+Feuil1!BG28+Feuil1!BO28+Feuil1!BQ28+Feuil1!BR28+Feuil1!BS28+Feuil1!BU28+Feuil1!BW28</f>
        <v>72436.63</v>
      </c>
      <c r="AJ24" s="2">
        <f>Feuil1!U28+Feuil1!CH28</f>
        <v>0</v>
      </c>
      <c r="AK24" s="2">
        <f>Feuil1!CI28</f>
        <v>-68898.33</v>
      </c>
      <c r="AM24" s="2">
        <f t="shared" si="0"/>
        <v>97477.98</v>
      </c>
    </row>
    <row r="25" spans="1:39">
      <c r="A25" s="5">
        <v>40483</v>
      </c>
      <c r="B25" s="2"/>
      <c r="C25" s="2">
        <f>Feuil1!AH29</f>
        <v>0</v>
      </c>
      <c r="D25" s="2">
        <f>Feuil1!N29</f>
        <v>0</v>
      </c>
      <c r="E25" s="2">
        <f>Feuil1!P29+Feuil1!T29</f>
        <v>0</v>
      </c>
      <c r="F25" s="2">
        <f>Feuil1!AB29</f>
        <v>0</v>
      </c>
      <c r="G25" s="2">
        <f>Feuil1!AF29</f>
        <v>0</v>
      </c>
      <c r="H25" s="2">
        <f>Feuil1!AK29</f>
        <v>0</v>
      </c>
      <c r="I25" s="2">
        <f>Feuil1!W29</f>
        <v>0</v>
      </c>
      <c r="J25" s="2">
        <f>Feuil1!V29</f>
        <v>0</v>
      </c>
      <c r="K25" s="2">
        <f>Feuil1!S29</f>
        <v>0</v>
      </c>
      <c r="L25" s="2">
        <f>Feuil1!Y29</f>
        <v>0</v>
      </c>
      <c r="M25" s="2">
        <f>Feuil1!AS29</f>
        <v>0</v>
      </c>
      <c r="N25" s="2">
        <f>Feuil1!AP29</f>
        <v>0</v>
      </c>
      <c r="O25" s="2">
        <f>Feuil1!AQ29</f>
        <v>0</v>
      </c>
      <c r="P25" s="2">
        <f>Feuil1!AI29</f>
        <v>0</v>
      </c>
      <c r="Q25" s="2">
        <f>Feuil1!AV29</f>
        <v>0</v>
      </c>
      <c r="R25" s="2">
        <f>Feuil1!AR29</f>
        <v>0</v>
      </c>
      <c r="S25" s="2">
        <f>Feuil1!AZ29+Feuil1!BC29+Feuil1!BF29+Feuil1!BH29+Feuil1!BI29+Feuil1!BJ29+Feuil1!BK29+Feuil1!BL29+Feuil1!BM29+Feuil1!BN29+Feuil1!BP29+Feuil1!BT29+Feuil1!BV29</f>
        <v>3325.6439999999998</v>
      </c>
      <c r="T25" s="2">
        <f>Feuil1!Q29</f>
        <v>0</v>
      </c>
      <c r="U25" s="2">
        <f>Feuil1!L29</f>
        <v>0</v>
      </c>
      <c r="V25" s="2">
        <f>Feuil1!O29</f>
        <v>0</v>
      </c>
      <c r="W25" s="2">
        <f>Feuil1!AT29+Feuil1!AY29</f>
        <v>5310.3</v>
      </c>
      <c r="X25" s="2">
        <f>Feuil1!M29+Feuil1!AJ29+Feuil1!AM29+Feuil1!AO29+Feuil1!AW29</f>
        <v>18554</v>
      </c>
      <c r="Y25" s="2">
        <f>Feuil1!AC29</f>
        <v>0</v>
      </c>
      <c r="Z25" s="2">
        <f>Feuil1!R29</f>
        <v>0</v>
      </c>
      <c r="AA25" s="2">
        <f>Feuil1!AG29</f>
        <v>0</v>
      </c>
      <c r="AB25" s="2">
        <f>+Feuil1!AD29</f>
        <v>0</v>
      </c>
      <c r="AC25" s="2">
        <f>Feuil1!AL29</f>
        <v>0</v>
      </c>
      <c r="AD25" s="2">
        <f>Feuil1!X29</f>
        <v>4587.5</v>
      </c>
      <c r="AE25" s="2">
        <f>Feuil1!AE29</f>
        <v>0</v>
      </c>
      <c r="AF25" s="2">
        <f>Feuil1!AA29+Feuil1!AU35</f>
        <v>0</v>
      </c>
      <c r="AG25" s="2">
        <f>Feuil1!Z29</f>
        <v>0</v>
      </c>
      <c r="AH25" s="2">
        <f>+Feuil1!AX29</f>
        <v>0</v>
      </c>
      <c r="AI25" s="2">
        <f>Feuil1!BA29+Feuil1!BB29+Feuil1!BD29+Feuil1!BE29+Feuil1!BG29+Feuil1!BO29+Feuil1!BQ29+Feuil1!BR29+Feuil1!BS29+Feuil1!BU29+Feuil1!BW29</f>
        <v>-28415.68</v>
      </c>
      <c r="AJ25" s="2">
        <f>Feuil1!U29+Feuil1!CH29</f>
        <v>0</v>
      </c>
      <c r="AK25" s="2">
        <f>Feuil1!CI29</f>
        <v>-14920.893999999389</v>
      </c>
      <c r="AM25" s="2">
        <f t="shared" si="0"/>
        <v>-11559.12999999939</v>
      </c>
    </row>
    <row r="26" spans="1:39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39">
      <c r="B27" s="2">
        <f t="shared" ref="B27:J27" si="1">SUM(B10:B26)</f>
        <v>1082643.4300000002</v>
      </c>
      <c r="C27" s="2">
        <f t="shared" si="1"/>
        <v>12000</v>
      </c>
      <c r="D27" s="2">
        <f t="shared" si="1"/>
        <v>384321.31</v>
      </c>
      <c r="E27" s="2">
        <f t="shared" si="1"/>
        <v>8811.32</v>
      </c>
      <c r="F27" s="2">
        <f t="shared" si="1"/>
        <v>12302.539999999999</v>
      </c>
      <c r="G27" s="2">
        <f t="shared" si="1"/>
        <v>53589.8</v>
      </c>
      <c r="H27" s="2">
        <f t="shared" si="1"/>
        <v>21562.799999999999</v>
      </c>
      <c r="I27" s="2">
        <f t="shared" si="1"/>
        <v>22360</v>
      </c>
      <c r="J27" s="2">
        <f t="shared" si="1"/>
        <v>1196.6400000000001</v>
      </c>
      <c r="K27" s="2">
        <f t="shared" ref="K27:S27" si="2">SUM(K10:K26)</f>
        <v>604.34999999999991</v>
      </c>
      <c r="L27" s="2">
        <f t="shared" si="2"/>
        <v>2339.4</v>
      </c>
      <c r="M27" s="2">
        <f>SUM(M10:M26)</f>
        <v>1530.67</v>
      </c>
      <c r="N27" s="2">
        <f>SUM(N10:N26)</f>
        <v>29155.200000000001</v>
      </c>
      <c r="O27" s="2">
        <f>SUM(O10:O26)</f>
        <v>42765.760000000002</v>
      </c>
      <c r="P27" s="2">
        <f t="shared" si="2"/>
        <v>200</v>
      </c>
      <c r="Q27" s="2">
        <f t="shared" si="2"/>
        <v>11800</v>
      </c>
      <c r="R27" s="2">
        <f t="shared" si="2"/>
        <v>6302.6</v>
      </c>
      <c r="S27" s="2">
        <f t="shared" si="2"/>
        <v>93094.103999999992</v>
      </c>
      <c r="T27" s="2">
        <f t="shared" ref="T27:AK27" si="3">SUM(T10:T26)</f>
        <v>2532.5</v>
      </c>
      <c r="U27" s="2">
        <f t="shared" si="3"/>
        <v>27470</v>
      </c>
      <c r="V27" s="2">
        <f t="shared" si="3"/>
        <v>37118.869999999995</v>
      </c>
      <c r="W27" s="2">
        <f t="shared" si="3"/>
        <v>149853.54999999999</v>
      </c>
      <c r="X27" s="2">
        <f t="shared" si="3"/>
        <v>433301.18000000005</v>
      </c>
      <c r="Y27" s="2">
        <f t="shared" si="3"/>
        <v>557644.34</v>
      </c>
      <c r="Z27" s="2">
        <f t="shared" si="3"/>
        <v>0</v>
      </c>
      <c r="AA27" s="2">
        <f t="shared" si="3"/>
        <v>5533.5</v>
      </c>
      <c r="AB27" s="2">
        <f t="shared" si="3"/>
        <v>40145</v>
      </c>
      <c r="AC27" s="2">
        <f t="shared" si="3"/>
        <v>0</v>
      </c>
      <c r="AD27" s="2">
        <f t="shared" si="3"/>
        <v>139360.01999999999</v>
      </c>
      <c r="AE27" s="2">
        <f t="shared" si="3"/>
        <v>45500</v>
      </c>
      <c r="AF27" s="2">
        <f t="shared" si="3"/>
        <v>5595.76</v>
      </c>
      <c r="AG27" s="2">
        <f t="shared" si="3"/>
        <v>2615</v>
      </c>
      <c r="AH27" s="2">
        <f t="shared" si="3"/>
        <v>8324.25</v>
      </c>
      <c r="AI27" s="2">
        <f t="shared" si="3"/>
        <v>198354.18</v>
      </c>
      <c r="AJ27" s="2">
        <f t="shared" si="3"/>
        <v>421527.9</v>
      </c>
      <c r="AK27" s="2">
        <f t="shared" si="3"/>
        <v>15860.096000000529</v>
      </c>
      <c r="AM27" s="2">
        <f>SUM(AM10:AM26)</f>
        <v>3877316.0699999994</v>
      </c>
    </row>
    <row r="28" spans="1:39">
      <c r="D28" s="89">
        <f>D27+E27+F27+G27+H27+I27+J27+K27+L27+M27+N27+O27+P27+Q27+R27+S27+T27</f>
        <v>694468.99399999995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9">
        <f>U27+V27+W27+X27+Y27+Z27+AA27+AB27+AC27+AD27+AE27+AF27+AG27+AH27+AI27</f>
        <v>1650815.65</v>
      </c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65"/>
      <c r="AI28" s="65"/>
      <c r="AJ28" s="7">
        <f>AJ27</f>
        <v>421527.9</v>
      </c>
    </row>
    <row r="30" spans="1:39">
      <c r="A30" t="s">
        <v>114</v>
      </c>
    </row>
    <row r="32" spans="1:39">
      <c r="A32" s="5">
        <v>40269</v>
      </c>
      <c r="B32" s="2">
        <v>60326</v>
      </c>
    </row>
    <row r="33" spans="1:31">
      <c r="A33" s="5">
        <v>40299</v>
      </c>
      <c r="B33" s="2">
        <v>60326</v>
      </c>
    </row>
    <row r="34" spans="1:31">
      <c r="A34" s="5">
        <v>40330</v>
      </c>
      <c r="B34" s="2">
        <v>50646</v>
      </c>
    </row>
    <row r="35" spans="1:31">
      <c r="A35" s="5">
        <v>40360</v>
      </c>
      <c r="B35" s="2">
        <v>50646</v>
      </c>
    </row>
    <row r="36" spans="1:31">
      <c r="A36" s="5">
        <v>40391</v>
      </c>
      <c r="B36" s="2">
        <v>50646</v>
      </c>
    </row>
    <row r="37" spans="1:31">
      <c r="A37" s="5">
        <v>40422</v>
      </c>
      <c r="B37" s="2">
        <v>38766</v>
      </c>
    </row>
    <row r="38" spans="1:31">
      <c r="A38" s="5">
        <v>40452</v>
      </c>
      <c r="B38" s="2">
        <f>99103.21/2</f>
        <v>49551.605000000003</v>
      </c>
      <c r="C38" s="31" t="s">
        <v>167</v>
      </c>
    </row>
    <row r="39" spans="1:31">
      <c r="A39" s="5">
        <v>40483</v>
      </c>
      <c r="B39" s="2">
        <f>99103.21/2</f>
        <v>49551.605000000003</v>
      </c>
      <c r="C39" s="31" t="s">
        <v>167</v>
      </c>
    </row>
    <row r="40" spans="1:31">
      <c r="AE40" s="2"/>
    </row>
    <row r="41" spans="1:31">
      <c r="B41" s="2">
        <f>SUM(B32:B40)</f>
        <v>410459.20999999996</v>
      </c>
    </row>
    <row r="42" spans="1:31">
      <c r="AE42" s="2"/>
    </row>
    <row r="43" spans="1:31">
      <c r="B43" s="5">
        <v>40269</v>
      </c>
      <c r="C43" s="5">
        <v>40299</v>
      </c>
      <c r="D43" s="5">
        <v>40330</v>
      </c>
      <c r="E43" s="5">
        <v>40360</v>
      </c>
      <c r="F43" s="5">
        <v>40391</v>
      </c>
      <c r="G43" s="5">
        <v>40422</v>
      </c>
    </row>
    <row r="44" spans="1:31">
      <c r="A44" s="22" t="s">
        <v>115</v>
      </c>
      <c r="B44" s="2">
        <v>11880</v>
      </c>
      <c r="C44" s="2">
        <v>11880</v>
      </c>
      <c r="D44" s="2">
        <v>11880</v>
      </c>
      <c r="E44" s="2">
        <v>11880</v>
      </c>
      <c r="F44" s="2">
        <v>11880</v>
      </c>
    </row>
    <row r="45" spans="1:31">
      <c r="A45" s="22" t="s">
        <v>116</v>
      </c>
      <c r="B45" s="2">
        <v>15166</v>
      </c>
      <c r="C45" s="2">
        <v>15166</v>
      </c>
      <c r="D45" s="2">
        <v>15166</v>
      </c>
      <c r="E45" s="2">
        <v>15166</v>
      </c>
      <c r="F45" s="2">
        <v>15166</v>
      </c>
      <c r="G45" s="2">
        <v>15167</v>
      </c>
    </row>
    <row r="46" spans="1:31">
      <c r="A46" s="22" t="s">
        <v>117</v>
      </c>
      <c r="B46" s="2">
        <f t="shared" ref="B46:G46" si="4">550*22</f>
        <v>12100</v>
      </c>
      <c r="C46" s="2">
        <f t="shared" si="4"/>
        <v>12100</v>
      </c>
      <c r="D46" s="2">
        <f t="shared" si="4"/>
        <v>12100</v>
      </c>
      <c r="E46" s="2">
        <f t="shared" si="4"/>
        <v>12100</v>
      </c>
      <c r="F46" s="2">
        <f t="shared" si="4"/>
        <v>12100</v>
      </c>
      <c r="G46" s="2">
        <f t="shared" si="4"/>
        <v>12100</v>
      </c>
    </row>
    <row r="47" spans="1:31">
      <c r="A47" s="22" t="s">
        <v>118</v>
      </c>
      <c r="B47" s="2">
        <v>11500</v>
      </c>
      <c r="C47" s="2">
        <v>11500</v>
      </c>
      <c r="D47" s="2">
        <v>11500</v>
      </c>
      <c r="E47" s="2">
        <v>11500</v>
      </c>
      <c r="F47" s="2">
        <v>11500</v>
      </c>
      <c r="G47" s="2">
        <v>11500</v>
      </c>
    </row>
    <row r="48" spans="1:31">
      <c r="A48" s="22" t="s">
        <v>119</v>
      </c>
      <c r="B48" s="2">
        <f>440*22</f>
        <v>9680</v>
      </c>
      <c r="C48" s="2">
        <f>440*22</f>
        <v>9680</v>
      </c>
      <c r="D48" s="2"/>
    </row>
    <row r="50" spans="1:7">
      <c r="B50" s="2">
        <f t="shared" ref="B50:G50" si="5">SUM(B44:B49)</f>
        <v>60326</v>
      </c>
      <c r="C50" s="2">
        <f t="shared" si="5"/>
        <v>60326</v>
      </c>
      <c r="D50" s="2">
        <f t="shared" si="5"/>
        <v>50646</v>
      </c>
      <c r="E50" s="2">
        <f t="shared" si="5"/>
        <v>50646</v>
      </c>
      <c r="F50" s="2">
        <f t="shared" si="5"/>
        <v>50646</v>
      </c>
      <c r="G50" s="2">
        <f t="shared" si="5"/>
        <v>38767</v>
      </c>
    </row>
    <row r="52" spans="1:7">
      <c r="A52" t="s">
        <v>120</v>
      </c>
      <c r="B52" s="2">
        <f>480*22</f>
        <v>10560</v>
      </c>
      <c r="C52" t="s">
        <v>127</v>
      </c>
      <c r="D52" t="s">
        <v>132</v>
      </c>
    </row>
    <row r="53" spans="1:7">
      <c r="A53" t="s">
        <v>121</v>
      </c>
      <c r="B53" s="2">
        <f>480*22</f>
        <v>10560</v>
      </c>
      <c r="C53" t="s">
        <v>127</v>
      </c>
      <c r="D53" t="s">
        <v>133</v>
      </c>
    </row>
    <row r="54" spans="1:7">
      <c r="A54" t="s">
        <v>122</v>
      </c>
      <c r="B54" t="s">
        <v>123</v>
      </c>
      <c r="C54" t="s">
        <v>128</v>
      </c>
    </row>
    <row r="55" spans="1:7">
      <c r="A55" t="s">
        <v>124</v>
      </c>
      <c r="B55" t="s">
        <v>126</v>
      </c>
      <c r="C55" t="s">
        <v>129</v>
      </c>
    </row>
    <row r="56" spans="1:7">
      <c r="A56" t="s">
        <v>166</v>
      </c>
      <c r="B56" t="s">
        <v>125</v>
      </c>
      <c r="C56" t="s">
        <v>129</v>
      </c>
    </row>
    <row r="57" spans="1:7">
      <c r="A57" s="22" t="s">
        <v>118</v>
      </c>
      <c r="B57" t="s">
        <v>130</v>
      </c>
      <c r="C57" t="s">
        <v>131</v>
      </c>
    </row>
  </sheetData>
  <mergeCells count="4">
    <mergeCell ref="D4:T4"/>
    <mergeCell ref="D28:T28"/>
    <mergeCell ref="U28:AG28"/>
    <mergeCell ref="U4:AI4"/>
  </mergeCells>
  <phoneticPr fontId="3" type="noConversion"/>
  <pageMargins left="0.39370078740157483" right="0.39370078740157483" top="0.98425196850393704" bottom="0.98425196850393704" header="0.51181102362204722" footer="0.51181102362204722"/>
  <pageSetup paperSize="8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topLeftCell="E1" workbookViewId="0">
      <selection activeCell="A2" sqref="A2"/>
    </sheetView>
  </sheetViews>
  <sheetFormatPr baseColWidth="10" defaultRowHeight="12.75"/>
  <cols>
    <col min="21" max="21" width="11.7109375" bestFit="1" customWidth="1"/>
  </cols>
  <sheetData>
    <row r="1" spans="1:20" ht="13.5" thickBot="1">
      <c r="A1" s="87" t="s">
        <v>171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73"/>
      <c r="S1" s="73"/>
      <c r="T1" s="73"/>
    </row>
    <row r="2" spans="1:20" ht="13.5" thickBot="1">
      <c r="A2" s="34" t="s">
        <v>51</v>
      </c>
      <c r="B2" s="32" t="s">
        <v>91</v>
      </c>
      <c r="C2" s="32" t="s">
        <v>91</v>
      </c>
      <c r="D2" s="32" t="s">
        <v>75</v>
      </c>
      <c r="E2" s="32" t="s">
        <v>92</v>
      </c>
      <c r="F2" s="32" t="s">
        <v>93</v>
      </c>
      <c r="G2" s="32" t="s">
        <v>72</v>
      </c>
      <c r="H2" s="32" t="s">
        <v>69</v>
      </c>
      <c r="I2" s="32" t="s">
        <v>102</v>
      </c>
      <c r="J2" s="32" t="s">
        <v>71</v>
      </c>
      <c r="K2" s="32" t="s">
        <v>107</v>
      </c>
      <c r="L2" s="32" t="s">
        <v>83</v>
      </c>
      <c r="M2" s="32" t="s">
        <v>108</v>
      </c>
      <c r="N2" s="32" t="s">
        <v>106</v>
      </c>
      <c r="O2" s="32" t="s">
        <v>87</v>
      </c>
      <c r="P2" s="32" t="s">
        <v>165</v>
      </c>
      <c r="Q2" s="33" t="s">
        <v>96</v>
      </c>
      <c r="R2" s="73"/>
      <c r="S2" s="73"/>
      <c r="T2" s="73"/>
    </row>
    <row r="3" spans="1:20">
      <c r="A3" s="30" t="s">
        <v>138</v>
      </c>
      <c r="B3" s="30" t="s">
        <v>139</v>
      </c>
      <c r="C3" s="30" t="s">
        <v>140</v>
      </c>
      <c r="D3" s="30" t="s">
        <v>141</v>
      </c>
      <c r="E3" s="30" t="s">
        <v>142</v>
      </c>
      <c r="F3" s="30" t="s">
        <v>145</v>
      </c>
      <c r="G3" s="30" t="s">
        <v>146</v>
      </c>
      <c r="H3" s="30" t="s">
        <v>147</v>
      </c>
      <c r="I3" s="30" t="s">
        <v>150</v>
      </c>
      <c r="J3" s="30" t="s">
        <v>25</v>
      </c>
      <c r="K3" s="30" t="s">
        <v>47</v>
      </c>
      <c r="L3" s="30" t="s">
        <v>41</v>
      </c>
      <c r="M3" s="30" t="s">
        <v>42</v>
      </c>
      <c r="N3" s="30" t="s">
        <v>61</v>
      </c>
      <c r="O3" s="30" t="s">
        <v>60</v>
      </c>
      <c r="P3" s="30" t="s">
        <v>43</v>
      </c>
      <c r="Q3" s="30" t="s">
        <v>151</v>
      </c>
      <c r="R3" s="74"/>
      <c r="S3" s="74"/>
      <c r="T3" s="74"/>
    </row>
    <row r="4" spans="1:20">
      <c r="A4" s="30"/>
      <c r="B4" s="30"/>
      <c r="C4" s="30"/>
      <c r="D4" s="30"/>
      <c r="E4" s="30" t="s">
        <v>143</v>
      </c>
      <c r="F4" s="30"/>
      <c r="G4" s="30"/>
      <c r="H4" s="30" t="s">
        <v>148</v>
      </c>
      <c r="I4" s="30"/>
      <c r="J4" s="30"/>
      <c r="K4" s="30"/>
      <c r="L4" s="30"/>
      <c r="M4" s="30"/>
      <c r="N4" s="30"/>
      <c r="O4" s="30"/>
      <c r="P4" s="30"/>
      <c r="Q4" s="30"/>
      <c r="R4" s="74"/>
      <c r="S4" s="74"/>
      <c r="T4" s="74"/>
    </row>
    <row r="5" spans="1:20" ht="13.5" thickBot="1">
      <c r="A5" s="30"/>
      <c r="B5" s="30"/>
      <c r="C5" s="30"/>
      <c r="D5" s="30"/>
      <c r="E5" s="30" t="s">
        <v>144</v>
      </c>
      <c r="F5" s="30"/>
      <c r="G5" s="30"/>
      <c r="H5" s="30" t="s">
        <v>149</v>
      </c>
      <c r="I5" s="30"/>
      <c r="J5" s="30"/>
      <c r="K5" s="30"/>
      <c r="L5" s="30"/>
      <c r="M5" s="30"/>
      <c r="N5" s="30"/>
      <c r="O5" s="30"/>
      <c r="P5" s="30"/>
      <c r="Q5" s="30"/>
      <c r="R5" s="74"/>
      <c r="S5" s="74"/>
      <c r="T5" s="74"/>
    </row>
    <row r="6" spans="1:20">
      <c r="A6" s="38">
        <v>14336</v>
      </c>
      <c r="B6" s="38">
        <v>628.96</v>
      </c>
      <c r="C6" s="38">
        <v>798.83</v>
      </c>
      <c r="D6" s="38">
        <v>3850.82</v>
      </c>
      <c r="E6" s="38">
        <v>11118.8</v>
      </c>
      <c r="F6" s="43"/>
      <c r="G6" s="38">
        <v>1725</v>
      </c>
      <c r="H6" s="38">
        <v>1196.6400000000001</v>
      </c>
      <c r="I6" s="38">
        <v>301.95</v>
      </c>
      <c r="J6" s="38">
        <v>2339.4</v>
      </c>
      <c r="K6" s="38">
        <v>82.15</v>
      </c>
      <c r="L6" s="43"/>
      <c r="M6" s="38">
        <v>843</v>
      </c>
      <c r="N6" s="38">
        <v>200</v>
      </c>
      <c r="O6" s="43"/>
      <c r="P6" s="38">
        <v>3765</v>
      </c>
      <c r="Q6" s="38">
        <v>2532.5</v>
      </c>
      <c r="R6" s="78"/>
      <c r="S6" s="78"/>
      <c r="T6" s="78"/>
    </row>
    <row r="7" spans="1:20">
      <c r="A7" s="39">
        <v>14400.45</v>
      </c>
      <c r="B7" s="39">
        <v>334.04</v>
      </c>
      <c r="C7" s="39">
        <v>877.07</v>
      </c>
      <c r="D7" s="39">
        <v>-3850.82</v>
      </c>
      <c r="E7" s="39">
        <v>5704.6</v>
      </c>
      <c r="F7" s="41"/>
      <c r="G7" s="39">
        <v>3340.75</v>
      </c>
      <c r="H7" s="41"/>
      <c r="I7" s="39">
        <v>161.69999999999999</v>
      </c>
      <c r="J7" s="41"/>
      <c r="K7" s="41"/>
      <c r="L7" s="41"/>
      <c r="M7" s="39">
        <v>1922.76</v>
      </c>
      <c r="N7" s="41"/>
      <c r="O7" s="41"/>
      <c r="P7" s="39">
        <v>2537.6</v>
      </c>
      <c r="Q7" s="41"/>
      <c r="R7" s="75"/>
      <c r="S7" s="75"/>
      <c r="T7" s="75"/>
    </row>
    <row r="8" spans="1:20">
      <c r="A8" s="39">
        <v>14275.12</v>
      </c>
      <c r="B8" s="39">
        <v>334.04</v>
      </c>
      <c r="C8" s="39">
        <v>202.1</v>
      </c>
      <c r="D8" s="39">
        <v>3633.56</v>
      </c>
      <c r="E8" s="41"/>
      <c r="F8" s="41"/>
      <c r="G8" s="39">
        <v>1194.25</v>
      </c>
      <c r="H8" s="41"/>
      <c r="I8" s="39">
        <v>140.69999999999999</v>
      </c>
      <c r="J8" s="41"/>
      <c r="K8" s="41"/>
      <c r="L8" s="41"/>
      <c r="M8" s="63"/>
      <c r="N8" s="41"/>
      <c r="O8" s="41"/>
      <c r="P8" s="41"/>
      <c r="Q8" s="41"/>
      <c r="R8" s="75"/>
      <c r="S8" s="75"/>
      <c r="T8" s="75"/>
    </row>
    <row r="9" spans="1:20">
      <c r="A9" s="39">
        <v>13195</v>
      </c>
      <c r="B9" s="39">
        <v>628.96</v>
      </c>
      <c r="C9" s="39">
        <v>590.48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75"/>
      <c r="S9" s="75"/>
      <c r="T9" s="75"/>
    </row>
    <row r="10" spans="1:20">
      <c r="A10" s="39">
        <v>14657.37</v>
      </c>
      <c r="B10" s="39">
        <v>342</v>
      </c>
      <c r="C10" s="39">
        <v>598.6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75"/>
      <c r="S10" s="75"/>
      <c r="T10" s="75"/>
    </row>
    <row r="11" spans="1:20">
      <c r="A11" s="39">
        <v>14560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75"/>
      <c r="S11" s="75"/>
      <c r="T11" s="75"/>
    </row>
    <row r="12" spans="1:20">
      <c r="A12" s="39">
        <v>14976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75"/>
      <c r="S12" s="75"/>
      <c r="T12" s="75"/>
    </row>
    <row r="13" spans="1:20">
      <c r="A13" s="39">
        <v>15040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75"/>
      <c r="S13" s="75"/>
      <c r="T13" s="75"/>
    </row>
    <row r="14" spans="1:20">
      <c r="A14" s="39">
        <v>15040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75"/>
      <c r="S14" s="75"/>
      <c r="T14" s="75"/>
    </row>
    <row r="15" spans="1:20">
      <c r="A15" s="39">
        <v>15040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75"/>
      <c r="S15" s="75"/>
      <c r="T15" s="75"/>
    </row>
    <row r="16" spans="1:20">
      <c r="A16" s="39">
        <v>14737.02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75"/>
      <c r="S16" s="75"/>
      <c r="T16" s="75"/>
    </row>
    <row r="17" spans="1:21">
      <c r="A17" s="39">
        <v>14720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75"/>
      <c r="S17" s="75"/>
      <c r="T17" s="75"/>
    </row>
    <row r="18" spans="1:21">
      <c r="A18" s="39">
        <v>14720.46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75"/>
      <c r="S18" s="75"/>
      <c r="T18" s="75"/>
    </row>
    <row r="19" spans="1:21">
      <c r="A19" s="39">
        <v>15364.32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75"/>
      <c r="S19" s="75"/>
      <c r="T19" s="75"/>
    </row>
    <row r="20" spans="1:21">
      <c r="A20" s="39">
        <v>15360.48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75"/>
      <c r="S20" s="75"/>
      <c r="T20" s="75"/>
    </row>
    <row r="21" spans="1:21">
      <c r="A21" s="39">
        <v>15360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75"/>
      <c r="S21" s="75"/>
      <c r="T21" s="75"/>
    </row>
    <row r="22" spans="1:21">
      <c r="A22" s="39">
        <v>6860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75"/>
      <c r="S22" s="75"/>
      <c r="T22" s="75"/>
    </row>
    <row r="23" spans="1:21">
      <c r="A23" s="39">
        <v>15691.27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75"/>
      <c r="S23" s="75"/>
      <c r="T23" s="75"/>
    </row>
    <row r="24" spans="1:21">
      <c r="A24" s="39">
        <v>15003.5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75"/>
      <c r="S24" s="75"/>
      <c r="T24" s="75"/>
    </row>
    <row r="25" spans="1:21" ht="13.5" thickBot="1">
      <c r="A25" s="40">
        <v>16020.5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75"/>
      <c r="S25" s="75"/>
      <c r="T25" s="75"/>
    </row>
    <row r="26" spans="1:21" s="9" customFormat="1" ht="13.5" thickBot="1">
      <c r="A26" s="35">
        <f>SUM(A6:A25)</f>
        <v>289357.49</v>
      </c>
      <c r="B26" s="36">
        <f t="shared" ref="B26:G26" si="0">SUM(B6:B25)</f>
        <v>2268</v>
      </c>
      <c r="C26" s="36">
        <f t="shared" si="0"/>
        <v>3067.08</v>
      </c>
      <c r="D26" s="36">
        <f t="shared" si="0"/>
        <v>3633.56</v>
      </c>
      <c r="E26" s="36">
        <f t="shared" si="0"/>
        <v>16823.400000000001</v>
      </c>
      <c r="F26" s="36">
        <f t="shared" si="0"/>
        <v>0</v>
      </c>
      <c r="G26" s="36">
        <f t="shared" si="0"/>
        <v>6260</v>
      </c>
      <c r="H26" s="36">
        <f t="shared" ref="H26:Q26" si="1">SUM(H6:H25)</f>
        <v>1196.6400000000001</v>
      </c>
      <c r="I26" s="36">
        <f t="shared" si="1"/>
        <v>604.34999999999991</v>
      </c>
      <c r="J26" s="36">
        <f t="shared" si="1"/>
        <v>2339.4</v>
      </c>
      <c r="K26" s="36">
        <f t="shared" si="1"/>
        <v>82.15</v>
      </c>
      <c r="L26" s="36">
        <f t="shared" si="1"/>
        <v>0</v>
      </c>
      <c r="M26" s="36">
        <f t="shared" si="1"/>
        <v>2765.76</v>
      </c>
      <c r="N26" s="36">
        <f t="shared" si="1"/>
        <v>200</v>
      </c>
      <c r="O26" s="36">
        <f t="shared" si="1"/>
        <v>0</v>
      </c>
      <c r="P26" s="36">
        <f t="shared" si="1"/>
        <v>6302.6</v>
      </c>
      <c r="Q26" s="37">
        <f t="shared" si="1"/>
        <v>2532.5</v>
      </c>
      <c r="R26" s="37"/>
      <c r="S26" s="37"/>
      <c r="T26" s="37"/>
      <c r="U26" s="44">
        <f>SUM(A26:Q26)</f>
        <v>337432.93000000005</v>
      </c>
    </row>
    <row r="27" spans="1:21" s="9" customFormat="1">
      <c r="A27" s="45"/>
      <c r="B27" s="45"/>
      <c r="C27" s="45"/>
      <c r="D27" s="45"/>
      <c r="E27" s="45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76"/>
      <c r="S27" s="76"/>
      <c r="T27" s="76"/>
    </row>
    <row r="28" spans="1:21">
      <c r="A28" s="46">
        <v>16960</v>
      </c>
      <c r="B28" s="41"/>
      <c r="C28" s="46">
        <v>849.04</v>
      </c>
      <c r="D28" s="46">
        <v>3056.94</v>
      </c>
      <c r="E28" s="46">
        <v>11880</v>
      </c>
      <c r="F28" s="46">
        <v>21562.799999999999</v>
      </c>
      <c r="G28" s="46">
        <v>9495</v>
      </c>
      <c r="H28" s="41"/>
      <c r="I28" s="41"/>
      <c r="J28" s="41"/>
      <c r="K28" s="80">
        <v>1461.68</v>
      </c>
      <c r="L28" s="46">
        <v>2927.7</v>
      </c>
      <c r="M28" s="54"/>
      <c r="N28" s="41"/>
      <c r="O28" s="46">
        <v>7600</v>
      </c>
      <c r="P28" s="41"/>
      <c r="Q28" s="41"/>
      <c r="R28" s="75"/>
      <c r="S28" s="75"/>
      <c r="T28" s="75"/>
    </row>
    <row r="29" spans="1:21">
      <c r="A29" s="46">
        <v>15846.44</v>
      </c>
      <c r="B29" s="41"/>
      <c r="C29" s="46">
        <v>878.7</v>
      </c>
      <c r="D29" s="46">
        <v>2561.2199999999998</v>
      </c>
      <c r="E29" s="46">
        <v>17201.8</v>
      </c>
      <c r="F29" s="41"/>
      <c r="G29" s="46">
        <v>345</v>
      </c>
      <c r="H29" s="41"/>
      <c r="I29" s="41"/>
      <c r="J29" s="41"/>
      <c r="K29" s="80">
        <v>-226.5</v>
      </c>
      <c r="L29" s="46">
        <v>2459</v>
      </c>
      <c r="M29" s="41"/>
      <c r="N29" s="41"/>
      <c r="O29" s="46">
        <v>4200</v>
      </c>
      <c r="P29" s="41"/>
      <c r="Q29" s="41"/>
      <c r="R29" s="75"/>
      <c r="S29" s="75"/>
      <c r="T29" s="75"/>
    </row>
    <row r="30" spans="1:21">
      <c r="A30" s="46">
        <v>15852.38</v>
      </c>
      <c r="B30" s="41"/>
      <c r="C30" s="46">
        <v>860.6</v>
      </c>
      <c r="D30" s="80">
        <v>3050.82</v>
      </c>
      <c r="E30" s="46">
        <v>7684.6</v>
      </c>
      <c r="F30" s="41"/>
      <c r="G30" s="46">
        <v>2810</v>
      </c>
      <c r="H30" s="41"/>
      <c r="I30" s="41"/>
      <c r="J30" s="41"/>
      <c r="K30" s="63"/>
      <c r="L30" s="46">
        <v>23768.5</v>
      </c>
      <c r="M30" s="41"/>
      <c r="N30" s="41"/>
      <c r="O30" s="41"/>
      <c r="P30" s="41"/>
      <c r="Q30" s="41"/>
      <c r="R30" s="75"/>
      <c r="S30" s="75"/>
      <c r="T30" s="75"/>
    </row>
    <row r="31" spans="1:21">
      <c r="A31" s="46">
        <v>16160</v>
      </c>
      <c r="B31" s="41"/>
      <c r="C31" s="46">
        <v>887.9</v>
      </c>
      <c r="D31" s="41"/>
      <c r="E31" s="41"/>
      <c r="F31" s="41"/>
      <c r="G31" s="46">
        <v>1207.5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75"/>
      <c r="S31" s="75"/>
      <c r="T31" s="75"/>
    </row>
    <row r="32" spans="1:21">
      <c r="A32" s="46">
        <v>15520</v>
      </c>
      <c r="B32" s="41"/>
      <c r="C32" s="41"/>
      <c r="D32" s="41"/>
      <c r="E32" s="41"/>
      <c r="F32" s="41"/>
      <c r="G32" s="46">
        <v>172.5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75"/>
      <c r="S32" s="75"/>
      <c r="T32" s="75"/>
    </row>
    <row r="33" spans="1:21">
      <c r="A33" s="46"/>
      <c r="B33" s="41"/>
      <c r="C33" s="41"/>
      <c r="D33" s="41"/>
      <c r="E33" s="41"/>
      <c r="F33" s="41"/>
      <c r="G33" s="46">
        <v>2070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75"/>
      <c r="S33" s="75"/>
      <c r="T33" s="75"/>
    </row>
    <row r="34" spans="1:21" s="9" customFormat="1" ht="13.5" thickBot="1">
      <c r="A34" s="47"/>
      <c r="B34" s="48"/>
      <c r="C34" s="48"/>
      <c r="D34" s="48"/>
      <c r="E34" s="48"/>
      <c r="F34" s="48"/>
      <c r="G34" s="47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76"/>
      <c r="S34" s="76"/>
      <c r="T34" s="76"/>
    </row>
    <row r="35" spans="1:21" ht="13.5" thickBot="1">
      <c r="A35" s="50">
        <f>SUM(A28:A33)</f>
        <v>80338.820000000007</v>
      </c>
      <c r="B35" s="51">
        <f>SUM(B28:B32)</f>
        <v>0</v>
      </c>
      <c r="C35" s="51">
        <f>SUM(C28:C32)</f>
        <v>3476.2400000000002</v>
      </c>
      <c r="D35" s="51">
        <f>SUM(D28:D32)</f>
        <v>8668.98</v>
      </c>
      <c r="E35" s="51">
        <f>SUM(E28:E32)</f>
        <v>36766.400000000001</v>
      </c>
      <c r="F35" s="51">
        <f>SUM(F28:F32)</f>
        <v>21562.799999999999</v>
      </c>
      <c r="G35" s="51">
        <f t="shared" ref="G35:Q35" si="2">SUM(G28:G34)</f>
        <v>16100</v>
      </c>
      <c r="H35" s="51">
        <f t="shared" si="2"/>
        <v>0</v>
      </c>
      <c r="I35" s="51">
        <f t="shared" si="2"/>
        <v>0</v>
      </c>
      <c r="J35" s="51">
        <f t="shared" si="2"/>
        <v>0</v>
      </c>
      <c r="K35" s="51">
        <f t="shared" si="2"/>
        <v>1235.18</v>
      </c>
      <c r="L35" s="51">
        <f t="shared" si="2"/>
        <v>29155.200000000001</v>
      </c>
      <c r="M35" s="51">
        <f t="shared" si="2"/>
        <v>0</v>
      </c>
      <c r="N35" s="51">
        <f t="shared" si="2"/>
        <v>0</v>
      </c>
      <c r="O35" s="51">
        <f t="shared" si="2"/>
        <v>11800</v>
      </c>
      <c r="P35" s="51">
        <f t="shared" si="2"/>
        <v>0</v>
      </c>
      <c r="Q35" s="52">
        <f t="shared" si="2"/>
        <v>0</v>
      </c>
      <c r="R35" s="52"/>
      <c r="S35" s="52"/>
      <c r="T35" s="52"/>
      <c r="U35" s="53">
        <f>SUM(A35:Q35)</f>
        <v>209103.62</v>
      </c>
    </row>
    <row r="36" spans="1:21">
      <c r="A36" s="61">
        <f>+A26+A35</f>
        <v>369696.31</v>
      </c>
      <c r="B36" s="61">
        <f t="shared" ref="B36:O36" si="3">+B26+B35</f>
        <v>2268</v>
      </c>
      <c r="C36" s="61">
        <f t="shared" si="3"/>
        <v>6543.32</v>
      </c>
      <c r="D36" s="61">
        <f t="shared" si="3"/>
        <v>12302.539999999999</v>
      </c>
      <c r="E36" s="61">
        <f t="shared" si="3"/>
        <v>53589.8</v>
      </c>
      <c r="F36" s="61">
        <f t="shared" si="3"/>
        <v>21562.799999999999</v>
      </c>
      <c r="G36" s="61">
        <f t="shared" si="3"/>
        <v>22360</v>
      </c>
      <c r="H36" s="61">
        <f t="shared" si="3"/>
        <v>1196.6400000000001</v>
      </c>
      <c r="I36" s="61">
        <f t="shared" si="3"/>
        <v>604.34999999999991</v>
      </c>
      <c r="J36" s="61">
        <f t="shared" si="3"/>
        <v>2339.4</v>
      </c>
      <c r="K36" s="61">
        <f t="shared" si="3"/>
        <v>1317.3300000000002</v>
      </c>
      <c r="L36" s="61">
        <f t="shared" si="3"/>
        <v>29155.200000000001</v>
      </c>
      <c r="M36" s="61">
        <f t="shared" si="3"/>
        <v>2765.76</v>
      </c>
      <c r="N36" s="61">
        <f t="shared" si="3"/>
        <v>200</v>
      </c>
      <c r="O36" s="61">
        <f t="shared" si="3"/>
        <v>11800</v>
      </c>
      <c r="P36" s="61">
        <f>+P26+P35</f>
        <v>6302.6</v>
      </c>
      <c r="Q36" s="61">
        <f>+Q26+Q35</f>
        <v>2532.5</v>
      </c>
      <c r="R36" s="61"/>
      <c r="S36" s="61"/>
      <c r="T36" s="61"/>
      <c r="U36" s="61">
        <f>+U26+U35</f>
        <v>546536.55000000005</v>
      </c>
    </row>
    <row r="37" spans="1:21">
      <c r="A37" s="61">
        <f>+Feuil1!N36</f>
        <v>384321.31</v>
      </c>
      <c r="B37" s="61">
        <f>+Feuil1!P36</f>
        <v>2268</v>
      </c>
      <c r="C37" s="61">
        <f>+Feuil1!T36</f>
        <v>6543.32</v>
      </c>
      <c r="D37" s="61">
        <f>+Feuil1!AB36</f>
        <v>12302.539999999999</v>
      </c>
      <c r="E37" s="61">
        <f>+Feuil1!AF36</f>
        <v>53589.8</v>
      </c>
      <c r="F37" s="61">
        <f>+Feuil1!AK36</f>
        <v>21562.799999999999</v>
      </c>
      <c r="G37" s="61">
        <f>Feuil1!W36</f>
        <v>22360</v>
      </c>
      <c r="H37" s="61">
        <f>Feuil1!V36</f>
        <v>1196.6400000000001</v>
      </c>
      <c r="I37" s="61">
        <f>Feuil1!S36</f>
        <v>604.34999999999991</v>
      </c>
      <c r="J37" s="61">
        <f>Feuil1!Y36</f>
        <v>2339.4</v>
      </c>
      <c r="K37" s="61">
        <f>Feuil1!AS36</f>
        <v>1546.78</v>
      </c>
      <c r="L37" s="61">
        <f>Feuil1!AP36</f>
        <v>29155.200000000001</v>
      </c>
      <c r="M37" s="61">
        <f>Feuil1!AQ36</f>
        <v>42765.760000000002</v>
      </c>
      <c r="N37" s="61">
        <f>Feuil1!AI36</f>
        <v>200</v>
      </c>
      <c r="O37" s="61">
        <f>Feuil1!AV36</f>
        <v>11800</v>
      </c>
      <c r="P37" s="61">
        <f>Feuil1!AR36</f>
        <v>6302.6</v>
      </c>
      <c r="Q37" s="61">
        <f>Feuil1!Q36</f>
        <v>2532.5</v>
      </c>
      <c r="R37" s="61"/>
      <c r="S37" s="61"/>
      <c r="T37" s="61"/>
      <c r="U37" s="62">
        <f>SUM(A37:Q37)</f>
        <v>601391</v>
      </c>
    </row>
    <row r="38" spans="1:21">
      <c r="A38" s="61">
        <f>+A36-A37</f>
        <v>-14625</v>
      </c>
      <c r="B38" s="61">
        <f t="shared" ref="B38:U38" si="4">+B36-B37</f>
        <v>0</v>
      </c>
      <c r="C38" s="61">
        <f t="shared" si="4"/>
        <v>0</v>
      </c>
      <c r="D38" s="61">
        <f t="shared" si="4"/>
        <v>0</v>
      </c>
      <c r="E38" s="61">
        <f t="shared" si="4"/>
        <v>0</v>
      </c>
      <c r="F38" s="61">
        <f t="shared" si="4"/>
        <v>0</v>
      </c>
      <c r="G38" s="61">
        <f t="shared" si="4"/>
        <v>0</v>
      </c>
      <c r="H38" s="61">
        <f t="shared" si="4"/>
        <v>0</v>
      </c>
      <c r="I38" s="61">
        <f t="shared" si="4"/>
        <v>0</v>
      </c>
      <c r="J38" s="61">
        <f t="shared" si="4"/>
        <v>0</v>
      </c>
      <c r="K38" s="61">
        <f t="shared" si="4"/>
        <v>-229.44999999999982</v>
      </c>
      <c r="L38" s="61">
        <f t="shared" si="4"/>
        <v>0</v>
      </c>
      <c r="M38" s="61">
        <f t="shared" si="4"/>
        <v>-40000</v>
      </c>
      <c r="N38" s="61">
        <f t="shared" si="4"/>
        <v>0</v>
      </c>
      <c r="O38" s="61">
        <f t="shared" si="4"/>
        <v>0</v>
      </c>
      <c r="P38" s="61">
        <f t="shared" si="4"/>
        <v>0</v>
      </c>
      <c r="Q38" s="61">
        <f t="shared" si="4"/>
        <v>0</v>
      </c>
      <c r="R38" s="61"/>
      <c r="S38" s="61"/>
      <c r="T38" s="61"/>
      <c r="U38" s="61">
        <f t="shared" si="4"/>
        <v>-54854.449999999953</v>
      </c>
    </row>
    <row r="41" spans="1:21" ht="13.5" thickBot="1"/>
    <row r="42" spans="1:21" ht="13.5" thickBot="1">
      <c r="A42" s="90" t="s">
        <v>109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73"/>
      <c r="S42" s="73"/>
      <c r="T42" s="73"/>
    </row>
    <row r="43" spans="1:21" ht="13.5" thickBot="1">
      <c r="A43" s="58" t="s">
        <v>97</v>
      </c>
      <c r="B43" s="59" t="s">
        <v>98</v>
      </c>
      <c r="C43" s="59" t="s">
        <v>63</v>
      </c>
      <c r="D43" s="59" t="s">
        <v>99</v>
      </c>
      <c r="E43" s="59" t="s">
        <v>99</v>
      </c>
      <c r="F43" s="59" t="s">
        <v>99</v>
      </c>
      <c r="G43" s="59" t="s">
        <v>99</v>
      </c>
      <c r="H43" s="59" t="s">
        <v>99</v>
      </c>
      <c r="I43" s="59" t="s">
        <v>100</v>
      </c>
      <c r="J43" s="59" t="s">
        <v>101</v>
      </c>
      <c r="K43" s="59" t="s">
        <v>112</v>
      </c>
      <c r="L43" s="59" t="s">
        <v>154</v>
      </c>
      <c r="M43" s="59" t="s">
        <v>113</v>
      </c>
      <c r="N43" s="59" t="s">
        <v>103</v>
      </c>
      <c r="O43" s="59" t="s">
        <v>104</v>
      </c>
      <c r="P43" s="59" t="s">
        <v>88</v>
      </c>
      <c r="Q43" s="60" t="s">
        <v>105</v>
      </c>
      <c r="R43" s="73"/>
      <c r="S43" s="73"/>
      <c r="T43" s="73"/>
    </row>
    <row r="44" spans="1:21">
      <c r="A44" s="64" t="s">
        <v>163</v>
      </c>
      <c r="B44" s="64" t="s">
        <v>162</v>
      </c>
      <c r="C44" s="30" t="s">
        <v>160</v>
      </c>
      <c r="D44" s="30" t="s">
        <v>172</v>
      </c>
      <c r="E44" s="30" t="s">
        <v>168</v>
      </c>
      <c r="F44" s="30" t="s">
        <v>158</v>
      </c>
      <c r="G44" s="30" t="s">
        <v>38</v>
      </c>
      <c r="H44" s="30" t="s">
        <v>159</v>
      </c>
      <c r="I44" s="30" t="s">
        <v>28</v>
      </c>
      <c r="J44" s="30" t="s">
        <v>21</v>
      </c>
      <c r="K44" s="30" t="s">
        <v>155</v>
      </c>
      <c r="L44" s="30" t="s">
        <v>29</v>
      </c>
      <c r="M44" s="30" t="s">
        <v>37</v>
      </c>
      <c r="N44" s="30" t="s">
        <v>24</v>
      </c>
      <c r="O44" s="30" t="s">
        <v>30</v>
      </c>
      <c r="P44" s="30" t="s">
        <v>153</v>
      </c>
      <c r="Q44" s="30" t="s">
        <v>26</v>
      </c>
      <c r="R44" s="74"/>
      <c r="S44" s="74"/>
      <c r="T44" s="74"/>
    </row>
    <row r="45" spans="1:21">
      <c r="A45" s="28"/>
      <c r="B45" s="28"/>
      <c r="C45" s="30" t="s">
        <v>161</v>
      </c>
      <c r="D45" s="28"/>
      <c r="E45" s="28"/>
      <c r="F45" s="28"/>
      <c r="G45" s="28"/>
      <c r="H45" s="28"/>
      <c r="I45" s="28"/>
      <c r="J45" s="28"/>
      <c r="K45" s="30" t="s">
        <v>156</v>
      </c>
      <c r="L45" s="28"/>
      <c r="M45" s="28"/>
      <c r="N45" s="28"/>
      <c r="O45" s="28"/>
      <c r="P45" s="28" t="s">
        <v>27</v>
      </c>
      <c r="Q45" s="28"/>
      <c r="R45" s="77"/>
      <c r="S45" s="77"/>
      <c r="T45" s="77"/>
    </row>
    <row r="46" spans="1:21" ht="13.5" thickBo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 t="s">
        <v>173</v>
      </c>
      <c r="L46" s="29"/>
      <c r="M46" s="29"/>
      <c r="N46" s="29"/>
      <c r="O46" s="29"/>
      <c r="P46" s="29"/>
      <c r="Q46" s="29"/>
      <c r="R46" s="77"/>
      <c r="S46" s="77"/>
      <c r="T46" s="77"/>
    </row>
    <row r="47" spans="1:21">
      <c r="A47" s="38">
        <v>2550</v>
      </c>
      <c r="B47" s="38">
        <v>14896</v>
      </c>
      <c r="C47" s="38">
        <v>1200</v>
      </c>
      <c r="D47" s="38">
        <v>6087.25</v>
      </c>
      <c r="E47" s="38">
        <v>10547</v>
      </c>
      <c r="F47" s="38">
        <v>4760</v>
      </c>
      <c r="G47" s="38">
        <v>10939.2</v>
      </c>
      <c r="H47" s="38">
        <v>4643.8500000000004</v>
      </c>
      <c r="I47" s="38">
        <v>147644.32</v>
      </c>
      <c r="J47" s="66"/>
      <c r="K47" s="38">
        <v>765</v>
      </c>
      <c r="L47" s="38">
        <v>16000</v>
      </c>
      <c r="M47" s="66"/>
      <c r="N47" s="38">
        <v>443.5</v>
      </c>
      <c r="O47" s="38">
        <v>36400</v>
      </c>
      <c r="P47" s="38">
        <v>959</v>
      </c>
      <c r="Q47" s="38">
        <v>1380</v>
      </c>
      <c r="R47" s="78"/>
      <c r="S47" s="78"/>
      <c r="T47" s="78"/>
    </row>
    <row r="48" spans="1:21">
      <c r="A48" s="39">
        <v>1450</v>
      </c>
      <c r="B48" s="39">
        <v>1211.24</v>
      </c>
      <c r="C48" s="54"/>
      <c r="D48" s="39">
        <v>20666.89</v>
      </c>
      <c r="E48" s="39">
        <v>68487</v>
      </c>
      <c r="F48" s="39">
        <v>704.85</v>
      </c>
      <c r="G48" s="54"/>
      <c r="H48" s="39">
        <v>1937.4</v>
      </c>
      <c r="I48" s="39">
        <v>87404.6</v>
      </c>
      <c r="J48" s="54"/>
      <c r="K48" s="39">
        <v>765</v>
      </c>
      <c r="L48" s="41"/>
      <c r="M48" s="54"/>
      <c r="N48" s="39">
        <v>1930</v>
      </c>
      <c r="O48" s="39">
        <v>9100</v>
      </c>
      <c r="P48" s="54"/>
      <c r="Q48" s="41"/>
      <c r="R48" s="75"/>
      <c r="S48" s="75"/>
      <c r="T48" s="75"/>
    </row>
    <row r="49" spans="1:21">
      <c r="A49" s="39">
        <v>3350</v>
      </c>
      <c r="B49" s="39">
        <v>2417.9499999999998</v>
      </c>
      <c r="C49" s="54"/>
      <c r="D49" s="39">
        <v>64443.13</v>
      </c>
      <c r="E49" s="41"/>
      <c r="F49" s="41"/>
      <c r="G49" s="54"/>
      <c r="H49" s="41"/>
      <c r="I49" s="54"/>
      <c r="J49" s="54"/>
      <c r="K49" s="39">
        <v>765</v>
      </c>
      <c r="L49" s="41"/>
      <c r="M49" s="54"/>
      <c r="N49" s="39">
        <v>2000</v>
      </c>
      <c r="O49" s="41"/>
      <c r="P49" s="41"/>
      <c r="Q49" s="41"/>
      <c r="R49" s="75"/>
      <c r="S49" s="75"/>
      <c r="T49" s="75"/>
    </row>
    <row r="50" spans="1:21">
      <c r="A50" s="39">
        <v>618.46</v>
      </c>
      <c r="B50" s="39">
        <v>2500</v>
      </c>
      <c r="C50" s="54"/>
      <c r="D50" s="39">
        <v>960</v>
      </c>
      <c r="E50" s="41"/>
      <c r="F50" s="41"/>
      <c r="G50" s="41"/>
      <c r="H50" s="41"/>
      <c r="I50" s="41"/>
      <c r="J50" s="39">
        <v>979</v>
      </c>
      <c r="K50" s="41"/>
      <c r="L50" s="41"/>
      <c r="M50" s="54"/>
      <c r="N50" s="41"/>
      <c r="O50" s="41"/>
      <c r="P50" s="41"/>
      <c r="Q50" s="41"/>
      <c r="R50" s="75"/>
      <c r="S50" s="75"/>
      <c r="T50" s="75"/>
    </row>
    <row r="51" spans="1:21">
      <c r="A51" s="54"/>
      <c r="B51" s="39">
        <v>2500</v>
      </c>
      <c r="C51" s="54"/>
      <c r="D51" s="39">
        <v>18930.32</v>
      </c>
      <c r="E51" s="41"/>
      <c r="F51" s="41"/>
      <c r="G51" s="41"/>
      <c r="H51" s="41"/>
      <c r="I51" s="41"/>
      <c r="J51" s="41"/>
      <c r="K51" s="41"/>
      <c r="L51" s="41"/>
      <c r="M51" s="54"/>
      <c r="N51" s="41"/>
      <c r="O51" s="41"/>
      <c r="P51" s="41"/>
      <c r="Q51" s="41"/>
      <c r="R51" s="75"/>
      <c r="S51" s="75"/>
      <c r="T51" s="75"/>
    </row>
    <row r="52" spans="1:21">
      <c r="A52" s="54"/>
      <c r="B52" s="39">
        <v>500</v>
      </c>
      <c r="C52" s="41"/>
      <c r="D52" s="39">
        <v>105162.39</v>
      </c>
      <c r="E52" s="41"/>
      <c r="F52" s="41"/>
      <c r="G52" s="41"/>
      <c r="H52" s="41"/>
      <c r="I52" s="41"/>
      <c r="J52" s="41"/>
      <c r="K52" s="41"/>
      <c r="L52" s="41"/>
      <c r="M52" s="54"/>
      <c r="N52" s="41"/>
      <c r="O52" s="41"/>
      <c r="P52" s="41"/>
      <c r="Q52" s="41"/>
      <c r="R52" s="75"/>
      <c r="S52" s="75"/>
      <c r="T52" s="75"/>
    </row>
    <row r="53" spans="1:21">
      <c r="A53" s="54"/>
      <c r="B53" s="41"/>
      <c r="C53" s="41"/>
      <c r="D53" s="39">
        <v>20987.4</v>
      </c>
      <c r="E53" s="41"/>
      <c r="F53" s="41"/>
      <c r="G53" s="41"/>
      <c r="H53" s="41"/>
      <c r="I53" s="41"/>
      <c r="J53" s="41"/>
      <c r="K53" s="41"/>
      <c r="L53" s="41"/>
      <c r="M53" s="54"/>
      <c r="N53" s="41"/>
      <c r="O53" s="41"/>
      <c r="P53" s="41"/>
      <c r="Q53" s="41"/>
      <c r="R53" s="75"/>
      <c r="S53" s="75"/>
      <c r="T53" s="75"/>
    </row>
    <row r="54" spans="1:21">
      <c r="A54" s="54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54"/>
      <c r="N54" s="41"/>
      <c r="O54" s="41"/>
      <c r="P54" s="41"/>
      <c r="Q54" s="41"/>
      <c r="R54" s="75"/>
      <c r="S54" s="75"/>
      <c r="T54" s="75"/>
    </row>
    <row r="55" spans="1:21">
      <c r="A55" s="54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54"/>
      <c r="N55" s="41"/>
      <c r="O55" s="41"/>
      <c r="P55" s="41"/>
      <c r="Q55" s="41"/>
      <c r="R55" s="75"/>
      <c r="S55" s="75"/>
      <c r="T55" s="75"/>
    </row>
    <row r="56" spans="1:21">
      <c r="A56" s="54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54"/>
      <c r="N56" s="41"/>
      <c r="O56" s="41"/>
      <c r="P56" s="41"/>
      <c r="Q56" s="41"/>
      <c r="R56" s="75"/>
      <c r="S56" s="75"/>
      <c r="T56" s="75"/>
    </row>
    <row r="57" spans="1:21" ht="13.5" thickBot="1">
      <c r="A57" s="54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54"/>
      <c r="N57" s="41"/>
      <c r="O57" s="41"/>
      <c r="P57" s="41"/>
      <c r="Q57" s="41"/>
      <c r="R57" s="75"/>
      <c r="S57" s="75"/>
      <c r="T57" s="75"/>
    </row>
    <row r="58" spans="1:21" ht="13.5" thickBot="1">
      <c r="A58" s="55">
        <f t="shared" ref="A58:Q58" si="5">SUM(A47:A57)</f>
        <v>7968.46</v>
      </c>
      <c r="B58" s="56">
        <f t="shared" si="5"/>
        <v>24025.19</v>
      </c>
      <c r="C58" s="56">
        <f t="shared" si="5"/>
        <v>1200</v>
      </c>
      <c r="D58" s="56">
        <f t="shared" si="5"/>
        <v>237237.37999999998</v>
      </c>
      <c r="E58" s="56">
        <f t="shared" si="5"/>
        <v>79034</v>
      </c>
      <c r="F58" s="56">
        <f t="shared" si="5"/>
        <v>5464.85</v>
      </c>
      <c r="G58" s="56">
        <f t="shared" si="5"/>
        <v>10939.2</v>
      </c>
      <c r="H58" s="56">
        <f t="shared" si="5"/>
        <v>6581.25</v>
      </c>
      <c r="I58" s="56">
        <f t="shared" si="5"/>
        <v>235048.92</v>
      </c>
      <c r="J58" s="56">
        <f t="shared" si="5"/>
        <v>979</v>
      </c>
      <c r="K58" s="56">
        <f t="shared" si="5"/>
        <v>2295</v>
      </c>
      <c r="L58" s="56">
        <f t="shared" si="5"/>
        <v>16000</v>
      </c>
      <c r="M58" s="56">
        <f t="shared" si="5"/>
        <v>0</v>
      </c>
      <c r="N58" s="56">
        <f t="shared" si="5"/>
        <v>4373.5</v>
      </c>
      <c r="O58" s="56">
        <f t="shared" si="5"/>
        <v>45500</v>
      </c>
      <c r="P58" s="56">
        <f t="shared" si="5"/>
        <v>959</v>
      </c>
      <c r="Q58" s="57">
        <f t="shared" si="5"/>
        <v>1380</v>
      </c>
      <c r="R58" s="57"/>
      <c r="S58" s="57"/>
      <c r="T58" s="57"/>
      <c r="U58" s="44">
        <f>SUM(A58:Q58)</f>
        <v>678985.75</v>
      </c>
    </row>
    <row r="59" spans="1:21">
      <c r="A59" s="45"/>
      <c r="B59" s="45"/>
      <c r="C59" s="45"/>
      <c r="D59" s="45"/>
      <c r="E59" s="45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76"/>
      <c r="S59" s="76"/>
      <c r="T59" s="76"/>
      <c r="U59" s="9"/>
    </row>
    <row r="60" spans="1:21">
      <c r="A60" s="46">
        <v>51.54</v>
      </c>
      <c r="B60" s="46">
        <v>1212.3</v>
      </c>
      <c r="C60" s="80">
        <v>7420.65</v>
      </c>
      <c r="D60" s="46">
        <v>29757</v>
      </c>
      <c r="E60" s="54"/>
      <c r="F60" s="46">
        <v>7351.5</v>
      </c>
      <c r="G60" s="54"/>
      <c r="H60" s="41"/>
      <c r="I60" s="46">
        <v>75098.899999999994</v>
      </c>
      <c r="J60" s="41"/>
      <c r="K60" s="41"/>
      <c r="L60" s="46">
        <v>2450</v>
      </c>
      <c r="M60" s="41"/>
      <c r="N60" s="46">
        <v>2680</v>
      </c>
      <c r="O60" s="54"/>
      <c r="P60" s="46">
        <v>185.2</v>
      </c>
      <c r="Q60" s="46">
        <v>385</v>
      </c>
      <c r="R60" s="78"/>
      <c r="S60" s="78"/>
      <c r="T60" s="78"/>
    </row>
    <row r="61" spans="1:21">
      <c r="A61" s="46">
        <v>4995</v>
      </c>
      <c r="B61" s="46">
        <v>2000</v>
      </c>
      <c r="C61" s="54"/>
      <c r="D61" s="46">
        <v>6400</v>
      </c>
      <c r="E61" s="54"/>
      <c r="F61" s="46">
        <v>5040</v>
      </c>
      <c r="G61" s="54"/>
      <c r="H61" s="41"/>
      <c r="I61" s="46">
        <v>89169.12</v>
      </c>
      <c r="J61" s="41"/>
      <c r="K61" s="41"/>
      <c r="L61" s="46">
        <v>5400</v>
      </c>
      <c r="M61" s="41"/>
      <c r="N61" s="46">
        <v>5295</v>
      </c>
      <c r="O61" s="54"/>
      <c r="P61" s="46">
        <v>565.28</v>
      </c>
      <c r="Q61" s="46">
        <v>850</v>
      </c>
      <c r="R61" s="78"/>
      <c r="S61" s="78"/>
      <c r="T61" s="78"/>
    </row>
    <row r="62" spans="1:21">
      <c r="A62" s="80">
        <v>1250</v>
      </c>
      <c r="B62" s="46">
        <v>7881.38</v>
      </c>
      <c r="C62" s="54"/>
      <c r="D62" s="41"/>
      <c r="E62" s="54"/>
      <c r="F62" s="46">
        <v>9800</v>
      </c>
      <c r="G62" s="54"/>
      <c r="H62" s="41"/>
      <c r="I62" s="46">
        <v>12384.6</v>
      </c>
      <c r="J62" s="41"/>
      <c r="K62" s="41"/>
      <c r="L62" s="46">
        <v>780</v>
      </c>
      <c r="M62" s="41"/>
      <c r="N62" s="46">
        <v>20419.560000000001</v>
      </c>
      <c r="O62" s="41"/>
      <c r="P62" s="46">
        <v>416.28</v>
      </c>
      <c r="Q62" s="46"/>
      <c r="R62" s="78"/>
      <c r="S62" s="78"/>
      <c r="T62" s="78"/>
    </row>
    <row r="63" spans="1:21">
      <c r="A63" s="80">
        <v>1250</v>
      </c>
      <c r="B63" s="46">
        <v>450</v>
      </c>
      <c r="C63" s="54"/>
      <c r="D63" s="41"/>
      <c r="E63" s="41"/>
      <c r="F63" s="41"/>
      <c r="G63" s="54"/>
      <c r="H63" s="41"/>
      <c r="I63" s="46">
        <v>145942.79999999999</v>
      </c>
      <c r="J63" s="41"/>
      <c r="K63" s="41"/>
      <c r="L63" s="46">
        <v>11000</v>
      </c>
      <c r="M63" s="41"/>
      <c r="N63" s="46">
        <v>40932.42</v>
      </c>
      <c r="O63" s="41"/>
      <c r="P63" s="46">
        <v>3470</v>
      </c>
      <c r="Q63" s="41"/>
      <c r="R63" s="75"/>
      <c r="S63" s="75"/>
      <c r="T63" s="75"/>
    </row>
    <row r="64" spans="1:21" ht="13.5" thickBot="1">
      <c r="A64" s="54"/>
      <c r="B64" s="80">
        <v>1550</v>
      </c>
      <c r="C64" s="54"/>
      <c r="D64" s="54"/>
      <c r="E64" s="54"/>
      <c r="F64" s="54"/>
      <c r="G64" s="54"/>
      <c r="H64" s="54"/>
      <c r="I64" s="54"/>
      <c r="J64" s="54"/>
      <c r="K64" s="54"/>
      <c r="L64" s="46">
        <v>4515</v>
      </c>
      <c r="M64" s="54"/>
      <c r="N64" s="54"/>
      <c r="O64" s="54"/>
      <c r="P64" s="54"/>
      <c r="Q64" s="54"/>
      <c r="R64" s="78"/>
      <c r="S64" s="78"/>
      <c r="T64" s="78"/>
    </row>
    <row r="65" spans="1:21" ht="13.5" thickBot="1">
      <c r="A65" s="51">
        <f t="shared" ref="A65:O65" si="6">SUM(A59:A64)</f>
        <v>7546.54</v>
      </c>
      <c r="B65" s="51">
        <f t="shared" si="6"/>
        <v>13093.68</v>
      </c>
      <c r="C65" s="51">
        <f t="shared" si="6"/>
        <v>7420.65</v>
      </c>
      <c r="D65" s="51">
        <f t="shared" si="6"/>
        <v>36157</v>
      </c>
      <c r="E65" s="51">
        <f t="shared" si="6"/>
        <v>0</v>
      </c>
      <c r="F65" s="51">
        <f t="shared" si="6"/>
        <v>22191.5</v>
      </c>
      <c r="G65" s="51">
        <f t="shared" si="6"/>
        <v>0</v>
      </c>
      <c r="H65" s="51">
        <f t="shared" si="6"/>
        <v>0</v>
      </c>
      <c r="I65" s="51">
        <f t="shared" si="6"/>
        <v>322595.42</v>
      </c>
      <c r="J65" s="51">
        <f t="shared" si="6"/>
        <v>0</v>
      </c>
      <c r="K65" s="51">
        <f t="shared" si="6"/>
        <v>0</v>
      </c>
      <c r="L65" s="51">
        <f t="shared" si="6"/>
        <v>24145</v>
      </c>
      <c r="M65" s="51">
        <f t="shared" si="6"/>
        <v>0</v>
      </c>
      <c r="N65" s="51">
        <f t="shared" si="6"/>
        <v>69326.98</v>
      </c>
      <c r="O65" s="51">
        <f t="shared" si="6"/>
        <v>0</v>
      </c>
      <c r="P65" s="51">
        <f>SUM(P59:P64)</f>
        <v>4636.76</v>
      </c>
      <c r="Q65" s="51">
        <f>SUM(Q59:Q64)</f>
        <v>1235</v>
      </c>
      <c r="R65" s="51"/>
      <c r="S65" s="51"/>
      <c r="T65" s="51"/>
      <c r="U65" s="53">
        <f>SUM(A65:Q65)</f>
        <v>508348.52999999997</v>
      </c>
    </row>
    <row r="66" spans="1:21">
      <c r="A66" s="7">
        <f>A58+A65</f>
        <v>15515</v>
      </c>
      <c r="B66" s="7">
        <f t="shared" ref="B66:U66" si="7">B58+B65</f>
        <v>37118.869999999995</v>
      </c>
      <c r="C66" s="7">
        <f t="shared" si="7"/>
        <v>8620.65</v>
      </c>
      <c r="D66" s="7">
        <f t="shared" si="7"/>
        <v>273394.38</v>
      </c>
      <c r="E66" s="7">
        <f t="shared" si="7"/>
        <v>79034</v>
      </c>
      <c r="F66" s="7">
        <f t="shared" si="7"/>
        <v>27656.35</v>
      </c>
      <c r="G66" s="7">
        <f t="shared" si="7"/>
        <v>10939.2</v>
      </c>
      <c r="H66" s="7">
        <f t="shared" si="7"/>
        <v>6581.25</v>
      </c>
      <c r="I66" s="7">
        <f t="shared" si="7"/>
        <v>557644.34</v>
      </c>
      <c r="J66" s="7">
        <f t="shared" si="7"/>
        <v>979</v>
      </c>
      <c r="K66" s="7">
        <f t="shared" si="7"/>
        <v>2295</v>
      </c>
      <c r="L66" s="7">
        <f t="shared" si="7"/>
        <v>40145</v>
      </c>
      <c r="M66" s="7">
        <f t="shared" si="7"/>
        <v>0</v>
      </c>
      <c r="N66" s="7">
        <f t="shared" si="7"/>
        <v>73700.479999999996</v>
      </c>
      <c r="O66" s="7">
        <f t="shared" si="7"/>
        <v>45500</v>
      </c>
      <c r="P66" s="7">
        <f t="shared" si="7"/>
        <v>5595.76</v>
      </c>
      <c r="Q66" s="7">
        <f t="shared" si="7"/>
        <v>2615</v>
      </c>
      <c r="R66" s="7"/>
      <c r="S66" s="7"/>
      <c r="T66" s="7"/>
      <c r="U66" s="7">
        <f t="shared" si="7"/>
        <v>1187334.28</v>
      </c>
    </row>
    <row r="67" spans="1:21">
      <c r="A67" s="7">
        <f>Feuil1!L36</f>
        <v>27470</v>
      </c>
      <c r="B67" s="7">
        <f>Feuil1!O36</f>
        <v>37118.869999999995</v>
      </c>
      <c r="C67" s="7">
        <f>Feuil1!AT36</f>
        <v>14753.55</v>
      </c>
      <c r="D67" s="7">
        <f>Feuil1!M36</f>
        <v>295148.38</v>
      </c>
      <c r="E67" s="7">
        <f>Feuil1!AW36</f>
        <v>92976</v>
      </c>
      <c r="F67" s="7">
        <f>Feuil1!AJ36</f>
        <v>27656.35</v>
      </c>
      <c r="G67" s="7">
        <f>Feuil1!AM36</f>
        <v>10939.2</v>
      </c>
      <c r="H67" s="7">
        <f>Feuil1!AO36</f>
        <v>6581.25</v>
      </c>
      <c r="I67" s="7">
        <f>Feuil1!AC36</f>
        <v>557644.34</v>
      </c>
      <c r="J67" s="7">
        <f>Feuil1!R36</f>
        <v>1140</v>
      </c>
      <c r="K67" s="7">
        <f>Feuil1!AG36</f>
        <v>5533.5</v>
      </c>
      <c r="L67" s="7">
        <f>Feuil1!AD36</f>
        <v>40145</v>
      </c>
      <c r="M67" s="7">
        <f>Feuil1!AL36</f>
        <v>0</v>
      </c>
      <c r="N67" s="7">
        <f>Feuil1!X36</f>
        <v>145216.01999999999</v>
      </c>
      <c r="O67" s="7">
        <f>Feuil1!AE36</f>
        <v>45500</v>
      </c>
      <c r="P67" s="7">
        <f>Feuil1!AU36+Feuil1!AA36</f>
        <v>5595.76</v>
      </c>
      <c r="Q67" s="7">
        <f>Feuil1!Z36</f>
        <v>2615</v>
      </c>
      <c r="R67" s="7"/>
      <c r="S67" s="7"/>
      <c r="T67" s="7"/>
      <c r="U67" s="7">
        <f>SUM(A67:Q67)</f>
        <v>1316033.22</v>
      </c>
    </row>
    <row r="68" spans="1:21">
      <c r="A68" s="7">
        <f>A66-A67</f>
        <v>-11955</v>
      </c>
      <c r="B68" s="7">
        <f t="shared" ref="B68:U68" si="8">B66-B67</f>
        <v>0</v>
      </c>
      <c r="C68" s="7">
        <f t="shared" si="8"/>
        <v>-6132.9</v>
      </c>
      <c r="D68" s="7">
        <f t="shared" si="8"/>
        <v>-21754</v>
      </c>
      <c r="E68" s="7">
        <f t="shared" si="8"/>
        <v>-13942</v>
      </c>
      <c r="F68" s="7">
        <f t="shared" si="8"/>
        <v>0</v>
      </c>
      <c r="G68" s="7">
        <f t="shared" si="8"/>
        <v>0</v>
      </c>
      <c r="H68" s="7">
        <f t="shared" si="8"/>
        <v>0</v>
      </c>
      <c r="I68" s="7">
        <f t="shared" si="8"/>
        <v>0</v>
      </c>
      <c r="J68" s="7">
        <f t="shared" si="8"/>
        <v>-161</v>
      </c>
      <c r="K68" s="7">
        <f t="shared" si="8"/>
        <v>-3238.5</v>
      </c>
      <c r="L68" s="7">
        <f t="shared" si="8"/>
        <v>0</v>
      </c>
      <c r="M68" s="7">
        <f t="shared" si="8"/>
        <v>0</v>
      </c>
      <c r="N68" s="7">
        <f t="shared" si="8"/>
        <v>-71515.539999999994</v>
      </c>
      <c r="O68" s="7">
        <f t="shared" si="8"/>
        <v>0</v>
      </c>
      <c r="P68" s="7">
        <f t="shared" si="8"/>
        <v>0</v>
      </c>
      <c r="Q68" s="7">
        <f t="shared" si="8"/>
        <v>0</v>
      </c>
      <c r="R68" s="7"/>
      <c r="S68" s="7"/>
      <c r="T68" s="7"/>
      <c r="U68" s="7">
        <f t="shared" si="8"/>
        <v>-128698.93999999994</v>
      </c>
    </row>
    <row r="69" spans="1:21">
      <c r="U69" s="2"/>
    </row>
  </sheetData>
  <mergeCells count="2">
    <mergeCell ref="A1:Q1"/>
    <mergeCell ref="A42:Q42"/>
  </mergeCells>
  <phoneticPr fontId="3" type="noConversion"/>
  <pageMargins left="0.78740157499999996" right="0.78740157499999996" top="0.984251969" bottom="0.984251969" header="0.4921259845" footer="0.4921259845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selection activeCell="B77" sqref="B77"/>
    </sheetView>
  </sheetViews>
  <sheetFormatPr baseColWidth="10" defaultRowHeight="12.75"/>
  <cols>
    <col min="1" max="1" width="15.5703125" bestFit="1" customWidth="1"/>
    <col min="6" max="6" width="13.5703125" bestFit="1" customWidth="1"/>
  </cols>
  <sheetData>
    <row r="1" spans="1:12">
      <c r="A1" t="s">
        <v>152</v>
      </c>
    </row>
    <row r="3" spans="1:12">
      <c r="A3" t="s">
        <v>179</v>
      </c>
      <c r="B3" t="s">
        <v>180</v>
      </c>
      <c r="C3" t="s">
        <v>181</v>
      </c>
      <c r="D3" t="s">
        <v>182</v>
      </c>
      <c r="E3" t="s">
        <v>183</v>
      </c>
      <c r="F3" t="s">
        <v>184</v>
      </c>
      <c r="G3" t="s">
        <v>182</v>
      </c>
    </row>
    <row r="4" spans="1:12">
      <c r="A4" t="s">
        <v>185</v>
      </c>
      <c r="B4" s="67">
        <v>4364.1000000000004</v>
      </c>
      <c r="C4" s="2">
        <v>-4364.1000000000004</v>
      </c>
      <c r="D4" s="2">
        <f>B4+C4</f>
        <v>0</v>
      </c>
      <c r="E4" s="68">
        <v>26405.23</v>
      </c>
      <c r="K4" s="2"/>
      <c r="L4" s="2"/>
    </row>
    <row r="5" spans="1:12">
      <c r="A5" t="s">
        <v>186</v>
      </c>
      <c r="B5" s="67">
        <v>7810.73</v>
      </c>
      <c r="C5" s="2">
        <v>-7810.73</v>
      </c>
      <c r="D5" s="2">
        <f t="shared" ref="D5:D12" si="0">B5+C5</f>
        <v>0</v>
      </c>
      <c r="E5" s="68">
        <v>19762.310000000001</v>
      </c>
    </row>
    <row r="6" spans="1:12">
      <c r="A6" t="s">
        <v>187</v>
      </c>
      <c r="B6" s="67">
        <v>14164.5</v>
      </c>
      <c r="C6" s="2">
        <v>-14164.5</v>
      </c>
      <c r="D6" s="2">
        <f t="shared" si="0"/>
        <v>0</v>
      </c>
      <c r="E6" s="68">
        <v>23458.59</v>
      </c>
      <c r="H6" t="s">
        <v>195</v>
      </c>
      <c r="I6" t="s">
        <v>196</v>
      </c>
      <c r="J6" t="s">
        <v>199</v>
      </c>
      <c r="K6" t="s">
        <v>198</v>
      </c>
      <c r="L6" t="s">
        <v>197</v>
      </c>
    </row>
    <row r="7" spans="1:12">
      <c r="A7" t="s">
        <v>188</v>
      </c>
      <c r="B7" s="67">
        <v>35312.42</v>
      </c>
      <c r="C7" s="2">
        <v>-35312.42</v>
      </c>
      <c r="D7" s="2">
        <f t="shared" si="0"/>
        <v>0</v>
      </c>
      <c r="E7" s="68">
        <v>32543.85</v>
      </c>
      <c r="H7" s="2">
        <f>+B19</f>
        <v>190218.54000000004</v>
      </c>
      <c r="I7" s="2">
        <f>+F19</f>
        <v>11213.200000000012</v>
      </c>
      <c r="J7" s="2">
        <f>+H7+I7</f>
        <v>201431.74000000005</v>
      </c>
      <c r="K7" s="2">
        <f>SUM(E4:E7)</f>
        <v>102169.98000000001</v>
      </c>
      <c r="L7" s="2">
        <f>+J7-K7</f>
        <v>99261.760000000038</v>
      </c>
    </row>
    <row r="8" spans="1:12">
      <c r="A8" t="s">
        <v>189</v>
      </c>
      <c r="B8" s="67">
        <v>43954.33</v>
      </c>
      <c r="C8" s="2">
        <v>-43954.33</v>
      </c>
      <c r="D8" s="2">
        <f t="shared" si="0"/>
        <v>0</v>
      </c>
      <c r="E8" s="6">
        <v>14649.3</v>
      </c>
      <c r="F8" s="2">
        <v>-14649.3</v>
      </c>
      <c r="G8" s="2">
        <f>E8+F8</f>
        <v>0</v>
      </c>
      <c r="H8" s="2">
        <f>+B19</f>
        <v>190218.54000000004</v>
      </c>
      <c r="I8">
        <v>0</v>
      </c>
      <c r="J8" s="2">
        <f>+H8+I8</f>
        <v>190218.54000000004</v>
      </c>
      <c r="K8" s="2">
        <f>SUM(E4:E7)</f>
        <v>102169.98000000001</v>
      </c>
      <c r="L8" s="2">
        <f>+J8-K8</f>
        <v>88048.560000000027</v>
      </c>
    </row>
    <row r="9" spans="1:12">
      <c r="A9" s="69" t="s">
        <v>190</v>
      </c>
      <c r="B9" s="70">
        <v>275832.56</v>
      </c>
      <c r="C9" s="70">
        <v>-275832.56</v>
      </c>
      <c r="D9" s="70">
        <f t="shared" si="0"/>
        <v>0</v>
      </c>
      <c r="E9" s="70">
        <v>72709.33</v>
      </c>
      <c r="F9" s="70">
        <v>-72709.33</v>
      </c>
      <c r="G9" s="70">
        <f>E9+F9</f>
        <v>0</v>
      </c>
    </row>
    <row r="10" spans="1:12">
      <c r="A10" t="s">
        <v>191</v>
      </c>
      <c r="B10" s="67">
        <v>35830.050000000003</v>
      </c>
      <c r="C10" s="2">
        <v>-35830.050000000003</v>
      </c>
      <c r="D10" s="2">
        <f t="shared" si="0"/>
        <v>0</v>
      </c>
    </row>
    <row r="11" spans="1:12">
      <c r="A11" t="s">
        <v>192</v>
      </c>
      <c r="B11" s="67">
        <v>27741.08</v>
      </c>
      <c r="C11" s="2">
        <v>-27741.08</v>
      </c>
      <c r="D11" s="2">
        <f t="shared" si="0"/>
        <v>0</v>
      </c>
    </row>
    <row r="12" spans="1:12">
      <c r="A12" t="s">
        <v>193</v>
      </c>
      <c r="B12" s="67">
        <v>21041.33</v>
      </c>
      <c r="C12" s="2">
        <v>-21041.33</v>
      </c>
      <c r="D12" s="2">
        <f t="shared" si="0"/>
        <v>0</v>
      </c>
    </row>
    <row r="13" spans="1:12">
      <c r="B13" s="2"/>
      <c r="C13" s="2"/>
      <c r="D13" s="2"/>
    </row>
    <row r="18" spans="1:8">
      <c r="E18" s="2"/>
      <c r="F18" s="91" t="s">
        <v>194</v>
      </c>
      <c r="G18" s="91"/>
      <c r="H18" s="91"/>
    </row>
    <row r="19" spans="1:8">
      <c r="A19" s="71"/>
      <c r="B19" s="2">
        <f>B4+B5+B6+B7+B8+B10+B11+B12</f>
        <v>190218.54000000004</v>
      </c>
      <c r="D19" s="9"/>
      <c r="E19" s="2">
        <f>+E4+E5+E6+E7+E8+B10+B11+B12</f>
        <v>201431.74000000005</v>
      </c>
      <c r="F19" s="68">
        <f>+E19-B19</f>
        <v>11213.200000000012</v>
      </c>
      <c r="G19" s="2">
        <f>+F19*19.6%</f>
        <v>2197.7872000000025</v>
      </c>
      <c r="H19" s="2">
        <f>+F19+G19</f>
        <v>13410.987200000014</v>
      </c>
    </row>
    <row r="20" spans="1:8">
      <c r="A20" s="9"/>
      <c r="B20" s="6"/>
    </row>
    <row r="21" spans="1:8" ht="15">
      <c r="A21" s="9"/>
      <c r="B21" s="72"/>
      <c r="E21" s="2"/>
      <c r="F21" s="2"/>
    </row>
    <row r="23" spans="1:8">
      <c r="B23" s="2" t="s">
        <v>174</v>
      </c>
      <c r="C23" s="2" t="s">
        <v>175</v>
      </c>
      <c r="D23" s="2" t="s">
        <v>174</v>
      </c>
      <c r="E23" s="2" t="s">
        <v>175</v>
      </c>
      <c r="F23" s="2" t="s">
        <v>174</v>
      </c>
      <c r="G23" s="2" t="s">
        <v>175</v>
      </c>
      <c r="H23" s="2" t="s">
        <v>5</v>
      </c>
    </row>
    <row r="24" spans="1:8">
      <c r="A24" t="s">
        <v>185</v>
      </c>
      <c r="B24" s="6"/>
    </row>
    <row r="25" spans="1:8">
      <c r="A25" t="s">
        <v>186</v>
      </c>
      <c r="B25" s="6">
        <v>4364.1000000000004</v>
      </c>
      <c r="D25" s="2">
        <f>+E4+C4</f>
        <v>22041.129999999997</v>
      </c>
    </row>
    <row r="26" spans="1:8">
      <c r="A26" t="s">
        <v>187</v>
      </c>
      <c r="B26" s="6">
        <v>7810.73</v>
      </c>
      <c r="D26" s="2">
        <f>+E5+C5</f>
        <v>11951.580000000002</v>
      </c>
    </row>
    <row r="27" spans="1:8">
      <c r="A27" t="s">
        <v>188</v>
      </c>
      <c r="B27" s="6">
        <v>14164.5</v>
      </c>
      <c r="D27" s="2">
        <f>+E6+C6</f>
        <v>9294.09</v>
      </c>
    </row>
    <row r="28" spans="1:8">
      <c r="A28" t="s">
        <v>189</v>
      </c>
      <c r="B28" s="6">
        <v>35312.42</v>
      </c>
      <c r="D28" s="2">
        <f>+E7+C7</f>
        <v>-2768.5699999999997</v>
      </c>
    </row>
    <row r="29" spans="1:8">
      <c r="A29" s="69" t="s">
        <v>190</v>
      </c>
      <c r="B29" s="6">
        <f>43954.33-19149.95</f>
        <v>24804.38</v>
      </c>
      <c r="C29" s="6">
        <v>19149.95</v>
      </c>
      <c r="D29" s="2">
        <v>-24804.38</v>
      </c>
      <c r="E29" s="2">
        <v>-19149.95</v>
      </c>
    </row>
    <row r="30" spans="1:8">
      <c r="A30" t="s">
        <v>191</v>
      </c>
      <c r="C30" s="6">
        <v>52161.66</v>
      </c>
    </row>
    <row r="31" spans="1:8">
      <c r="A31" t="s">
        <v>192</v>
      </c>
      <c r="C31" s="6">
        <v>92450.72</v>
      </c>
    </row>
    <row r="32" spans="1:8">
      <c r="A32" t="s">
        <v>193</v>
      </c>
      <c r="C32" s="6">
        <v>157203.35</v>
      </c>
    </row>
    <row r="35" spans="1:8">
      <c r="B35" s="2">
        <f>SUM(B25:B34)</f>
        <v>86456.13</v>
      </c>
      <c r="C35" s="2">
        <f>SUM(C25:C34)</f>
        <v>320965.68000000005</v>
      </c>
      <c r="D35" s="2">
        <f>SUM(D25:D34)</f>
        <v>15713.850000000002</v>
      </c>
      <c r="E35" s="2">
        <f>SUM(E25:E34)</f>
        <v>-19149.95</v>
      </c>
      <c r="F35" s="2">
        <f>+D35</f>
        <v>15713.850000000002</v>
      </c>
      <c r="G35" s="2">
        <f>+C35+E35</f>
        <v>301815.73000000004</v>
      </c>
      <c r="H35" s="2">
        <f>SUM(F35:G35)</f>
        <v>317529.58</v>
      </c>
    </row>
    <row r="37" spans="1:8">
      <c r="F37" s="2"/>
    </row>
    <row r="38" spans="1:8">
      <c r="F38" s="2"/>
    </row>
    <row r="40" spans="1:8">
      <c r="A40" s="92" t="s">
        <v>222</v>
      </c>
      <c r="B40" s="92"/>
      <c r="C40" s="92"/>
      <c r="D40" s="92"/>
      <c r="E40" s="92"/>
      <c r="F40" s="92"/>
    </row>
    <row r="43" spans="1:8">
      <c r="A43" s="91" t="s">
        <v>226</v>
      </c>
      <c r="B43" s="91"/>
      <c r="C43" s="92" t="s">
        <v>224</v>
      </c>
      <c r="D43" s="92"/>
      <c r="E43" s="2"/>
      <c r="F43" t="s">
        <v>225</v>
      </c>
    </row>
    <row r="44" spans="1:8">
      <c r="A44" s="2"/>
      <c r="C44" s="6">
        <f>14649.3</f>
        <v>14649.3</v>
      </c>
      <c r="D44" s="2">
        <f>-14649.3</f>
        <v>-14649.3</v>
      </c>
      <c r="F44" s="2">
        <v>-4364.1000000000004</v>
      </c>
    </row>
    <row r="45" spans="1:8">
      <c r="A45" t="s">
        <v>232</v>
      </c>
      <c r="B45" s="2">
        <f>52161.66+92450.72+157203.35</f>
        <v>301815.73</v>
      </c>
      <c r="C45" s="2">
        <f>72709.33</f>
        <v>72709.33</v>
      </c>
      <c r="D45" s="2">
        <f>-72709.33</f>
        <v>-72709.33</v>
      </c>
      <c r="F45" s="2">
        <f>-7810.73</f>
        <v>-7810.73</v>
      </c>
    </row>
    <row r="46" spans="1:8">
      <c r="A46" t="s">
        <v>227</v>
      </c>
      <c r="B46" s="2">
        <f>-52161.66-92450.72-157203.35</f>
        <v>-301815.73</v>
      </c>
      <c r="C46" s="2">
        <f>35830.05</f>
        <v>35830.050000000003</v>
      </c>
      <c r="D46" s="2">
        <f>-35830.05</f>
        <v>-35830.050000000003</v>
      </c>
      <c r="F46" s="2">
        <f>-14164.5</f>
        <v>-14164.5</v>
      </c>
    </row>
    <row r="47" spans="1:8">
      <c r="A47" t="s">
        <v>230</v>
      </c>
      <c r="B47" s="2">
        <v>418073.78</v>
      </c>
      <c r="C47" s="2">
        <v>27741.08</v>
      </c>
      <c r="D47" s="2">
        <f>-27741.08</f>
        <v>-27741.08</v>
      </c>
      <c r="F47" s="2">
        <v>-35312.42</v>
      </c>
    </row>
    <row r="48" spans="1:8">
      <c r="C48" s="2">
        <f>21041.33</f>
        <v>21041.33</v>
      </c>
      <c r="D48" s="2">
        <v>-21041.33</v>
      </c>
      <c r="F48" s="2">
        <f>-43954.33</f>
        <v>-43954.33</v>
      </c>
    </row>
    <row r="49" spans="1:6">
      <c r="F49" s="2">
        <v>19149.95</v>
      </c>
    </row>
    <row r="50" spans="1:6">
      <c r="A50" s="2" t="s">
        <v>231</v>
      </c>
      <c r="B50" s="2">
        <f>+B47-B45</f>
        <v>116258.05000000005</v>
      </c>
      <c r="F50" s="2">
        <f>11213.2</f>
        <v>11213.2</v>
      </c>
    </row>
    <row r="51" spans="1:6">
      <c r="A51" s="2" t="s">
        <v>228</v>
      </c>
      <c r="B51" s="2">
        <f>-F57</f>
        <v>72334.709999999992</v>
      </c>
      <c r="E51" s="6"/>
      <c r="F51" s="2">
        <f>-99261.76</f>
        <v>-99261.759999999995</v>
      </c>
    </row>
    <row r="52" spans="1:6">
      <c r="F52" s="2">
        <f>26405.23</f>
        <v>26405.23</v>
      </c>
    </row>
    <row r="53" spans="1:6">
      <c r="A53" s="2" t="s">
        <v>229</v>
      </c>
      <c r="B53" s="2">
        <f>B50+B51</f>
        <v>188592.76000000004</v>
      </c>
      <c r="E53" s="6"/>
      <c r="F53" s="2">
        <f>19762.31</f>
        <v>19762.310000000001</v>
      </c>
    </row>
    <row r="54" spans="1:6">
      <c r="A54" s="2"/>
      <c r="B54" s="2"/>
      <c r="E54" s="6"/>
      <c r="F54" s="2">
        <f>23458.59</f>
        <v>23458.59</v>
      </c>
    </row>
    <row r="55" spans="1:6">
      <c r="A55" s="2"/>
      <c r="F55" s="2">
        <v>32543.85</v>
      </c>
    </row>
    <row r="57" spans="1:6">
      <c r="A57" s="2"/>
      <c r="E57" t="s">
        <v>223</v>
      </c>
      <c r="F57" s="2">
        <f>SUM(F44:F56)</f>
        <v>-72334.709999999992</v>
      </c>
    </row>
    <row r="58" spans="1:6">
      <c r="B58" t="s">
        <v>175</v>
      </c>
    </row>
    <row r="60" spans="1:6">
      <c r="A60" s="5">
        <v>40118</v>
      </c>
      <c r="B60" s="2">
        <v>68479.38</v>
      </c>
    </row>
    <row r="61" spans="1:6">
      <c r="A61" s="5">
        <v>40148</v>
      </c>
      <c r="B61" s="2">
        <v>162388.15</v>
      </c>
    </row>
    <row r="62" spans="1:6">
      <c r="A62" s="5">
        <v>40179</v>
      </c>
      <c r="B62" s="2">
        <v>187206.25</v>
      </c>
    </row>
    <row r="64" spans="1:6">
      <c r="B64" s="2">
        <f>SUM(B60:B63)</f>
        <v>418073.78</v>
      </c>
    </row>
  </sheetData>
  <mergeCells count="4">
    <mergeCell ref="F18:H18"/>
    <mergeCell ref="A40:F40"/>
    <mergeCell ref="C43:D43"/>
    <mergeCell ref="A43:B43"/>
  </mergeCells>
  <phoneticPr fontId="49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workbookViewId="0">
      <selection activeCell="H6" sqref="H6"/>
    </sheetView>
  </sheetViews>
  <sheetFormatPr baseColWidth="10" defaultRowHeight="12.75"/>
  <cols>
    <col min="8" max="8" width="11.7109375" bestFit="1" customWidth="1"/>
  </cols>
  <sheetData>
    <row r="1" spans="1:8">
      <c r="A1" s="1" t="s">
        <v>5</v>
      </c>
    </row>
    <row r="2" spans="1:8">
      <c r="B2" s="65" t="s">
        <v>89</v>
      </c>
      <c r="C2" s="65" t="s">
        <v>178</v>
      </c>
      <c r="D2" s="65" t="s">
        <v>94</v>
      </c>
      <c r="E2" s="65" t="s">
        <v>109</v>
      </c>
      <c r="F2" s="65" t="s">
        <v>176</v>
      </c>
      <c r="G2" s="65" t="s">
        <v>17</v>
      </c>
      <c r="H2" s="65" t="s">
        <v>177</v>
      </c>
    </row>
    <row r="3" spans="1:8">
      <c r="A3" t="s">
        <v>174</v>
      </c>
      <c r="B3" s="2">
        <f>Feuil2!B27</f>
        <v>1082643.4300000002</v>
      </c>
      <c r="C3" s="2">
        <f>Feuil2!C27</f>
        <v>12000</v>
      </c>
      <c r="D3" s="2">
        <f>Feuil3!U26</f>
        <v>337432.93000000005</v>
      </c>
      <c r="E3" s="2">
        <f>Feuil3!U58</f>
        <v>678985.75</v>
      </c>
      <c r="F3" s="2">
        <f>+Feuil5!F35</f>
        <v>15713.850000000002</v>
      </c>
      <c r="G3" s="2">
        <f>Feuil1!CI36</f>
        <v>200.00000000053842</v>
      </c>
      <c r="H3" s="2">
        <f>SUM(B3:G3)</f>
        <v>2126975.9600000009</v>
      </c>
    </row>
    <row r="4" spans="1:8">
      <c r="A4" t="s">
        <v>175</v>
      </c>
      <c r="D4" s="2">
        <f>Feuil3!U35</f>
        <v>209103.62</v>
      </c>
      <c r="E4" s="2">
        <f>Feuil3!U65</f>
        <v>508348.52999999997</v>
      </c>
      <c r="F4" s="2">
        <f>+Feuil5!G35+Feuil1!U36</f>
        <v>305269.85000000003</v>
      </c>
      <c r="H4" s="2">
        <f>SUM(B4:G4)</f>
        <v>1022722</v>
      </c>
    </row>
    <row r="6" spans="1:8">
      <c r="A6" t="s">
        <v>2</v>
      </c>
      <c r="B6" s="2">
        <f t="shared" ref="B6:G6" si="0">SUM(B3:B5)</f>
        <v>1082643.4300000002</v>
      </c>
      <c r="C6" s="2">
        <f t="shared" si="0"/>
        <v>12000</v>
      </c>
      <c r="D6" s="2">
        <f t="shared" si="0"/>
        <v>546536.55000000005</v>
      </c>
      <c r="E6" s="2">
        <f t="shared" si="0"/>
        <v>1187334.28</v>
      </c>
      <c r="F6" s="2">
        <f t="shared" si="0"/>
        <v>320983.7</v>
      </c>
      <c r="G6" s="2">
        <f t="shared" si="0"/>
        <v>200.00000000053842</v>
      </c>
      <c r="H6" s="2">
        <f>SUM(B6:G6)</f>
        <v>3149697.9600000009</v>
      </c>
    </row>
  </sheetData>
  <phoneticPr fontId="49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2"/>
  <sheetViews>
    <sheetView workbookViewId="0">
      <selection activeCell="G15" sqref="G15:G16"/>
    </sheetView>
  </sheetViews>
  <sheetFormatPr baseColWidth="10" defaultRowHeight="12.75"/>
  <cols>
    <col min="1" max="1" width="17.28515625" bestFit="1" customWidth="1"/>
  </cols>
  <sheetData>
    <row r="2" spans="1:9">
      <c r="A2" s="1" t="s">
        <v>216</v>
      </c>
    </row>
    <row r="3" spans="1:9">
      <c r="B3" s="5">
        <v>40330</v>
      </c>
      <c r="C3" s="5">
        <v>40360</v>
      </c>
      <c r="D3" s="5">
        <v>40391</v>
      </c>
      <c r="E3" s="5">
        <v>40422</v>
      </c>
      <c r="F3" s="5">
        <v>40452</v>
      </c>
      <c r="G3" s="5">
        <v>40483</v>
      </c>
      <c r="I3" t="s">
        <v>2</v>
      </c>
    </row>
    <row r="4" spans="1:9">
      <c r="A4" t="s">
        <v>203</v>
      </c>
      <c r="B4" s="2">
        <v>10000</v>
      </c>
      <c r="C4" s="2"/>
      <c r="D4" s="2"/>
      <c r="E4" s="2"/>
      <c r="F4" s="2"/>
      <c r="G4" s="2"/>
      <c r="I4" s="2">
        <f>SUM(B4:H4)</f>
        <v>10000</v>
      </c>
    </row>
    <row r="5" spans="1:9">
      <c r="A5" t="s">
        <v>204</v>
      </c>
      <c r="B5" s="2">
        <v>10000</v>
      </c>
      <c r="C5" s="2"/>
      <c r="D5" s="2"/>
      <c r="E5" s="2"/>
      <c r="F5" s="2"/>
      <c r="G5" s="2"/>
      <c r="I5" s="2">
        <f t="shared" ref="I5:I17" si="0">SUM(B5:H5)</f>
        <v>10000</v>
      </c>
    </row>
    <row r="6" spans="1:9">
      <c r="A6" t="s">
        <v>205</v>
      </c>
      <c r="B6" s="2">
        <v>15000</v>
      </c>
      <c r="C6" s="2">
        <v>15000</v>
      </c>
      <c r="D6" s="2">
        <v>15000</v>
      </c>
      <c r="E6" s="2">
        <v>15000</v>
      </c>
      <c r="F6" s="2">
        <v>15000</v>
      </c>
      <c r="G6" s="2">
        <v>15000</v>
      </c>
      <c r="I6" s="2">
        <f t="shared" si="0"/>
        <v>90000</v>
      </c>
    </row>
    <row r="7" spans="1:9">
      <c r="A7" t="s">
        <v>206</v>
      </c>
      <c r="B7" s="2">
        <v>10000</v>
      </c>
      <c r="C7" s="2">
        <v>10000</v>
      </c>
      <c r="D7" s="2">
        <v>10000</v>
      </c>
      <c r="E7" s="2">
        <v>10000</v>
      </c>
      <c r="F7" s="2">
        <v>10000</v>
      </c>
      <c r="G7" s="2">
        <v>10000</v>
      </c>
      <c r="I7" s="2">
        <f t="shared" si="0"/>
        <v>60000</v>
      </c>
    </row>
    <row r="8" spans="1:9">
      <c r="A8" t="s">
        <v>207</v>
      </c>
      <c r="B8" s="2">
        <v>12000</v>
      </c>
      <c r="C8" s="2">
        <v>12000</v>
      </c>
      <c r="D8" s="2">
        <v>12000</v>
      </c>
      <c r="E8" s="2">
        <v>12000</v>
      </c>
      <c r="F8" s="2">
        <v>12000</v>
      </c>
      <c r="G8" s="2">
        <v>12000</v>
      </c>
      <c r="I8" s="2">
        <f t="shared" si="0"/>
        <v>72000</v>
      </c>
    </row>
    <row r="9" spans="1:9">
      <c r="A9" t="s">
        <v>208</v>
      </c>
      <c r="B9" s="2">
        <v>7500</v>
      </c>
      <c r="C9" s="2">
        <v>7500</v>
      </c>
      <c r="D9" s="2">
        <v>7500</v>
      </c>
      <c r="E9" s="2">
        <v>7500</v>
      </c>
      <c r="F9" s="2">
        <v>7500</v>
      </c>
      <c r="G9" s="2">
        <v>7500</v>
      </c>
      <c r="I9" s="2">
        <f t="shared" si="0"/>
        <v>45000</v>
      </c>
    </row>
    <row r="10" spans="1:9">
      <c r="A10" t="s">
        <v>209</v>
      </c>
      <c r="B10" s="2">
        <f t="shared" ref="B10:G10" si="1">4*2916.666666</f>
        <v>11666.666664</v>
      </c>
      <c r="C10" s="2">
        <f t="shared" si="1"/>
        <v>11666.666664</v>
      </c>
      <c r="D10" s="2">
        <f t="shared" si="1"/>
        <v>11666.666664</v>
      </c>
      <c r="E10" s="2">
        <f t="shared" si="1"/>
        <v>11666.666664</v>
      </c>
      <c r="F10" s="2">
        <f t="shared" si="1"/>
        <v>11666.666664</v>
      </c>
      <c r="G10" s="2">
        <f t="shared" si="1"/>
        <v>11666.666664</v>
      </c>
      <c r="I10" s="2">
        <f t="shared" si="0"/>
        <v>69999.999984000009</v>
      </c>
    </row>
    <row r="11" spans="1:9">
      <c r="A11" t="s">
        <v>210</v>
      </c>
      <c r="B11" s="2">
        <v>3000</v>
      </c>
      <c r="C11" s="2">
        <v>3000</v>
      </c>
      <c r="D11" s="2"/>
      <c r="E11" s="2"/>
      <c r="F11" s="2"/>
      <c r="G11" s="2"/>
      <c r="I11" s="2">
        <f t="shared" si="0"/>
        <v>6000</v>
      </c>
    </row>
    <row r="12" spans="1:9">
      <c r="A12" t="s">
        <v>211</v>
      </c>
      <c r="B12" s="2">
        <v>45000</v>
      </c>
      <c r="C12" s="2">
        <v>15000</v>
      </c>
      <c r="D12" s="2"/>
      <c r="E12" s="2"/>
      <c r="F12" s="2"/>
      <c r="G12" s="2"/>
      <c r="I12" s="2">
        <f t="shared" si="0"/>
        <v>60000</v>
      </c>
    </row>
    <row r="13" spans="1:9">
      <c r="A13" t="s">
        <v>212</v>
      </c>
      <c r="B13" s="2">
        <v>150000</v>
      </c>
      <c r="C13" s="2">
        <v>50000</v>
      </c>
      <c r="D13" s="2"/>
      <c r="E13" s="2"/>
      <c r="F13" s="2"/>
      <c r="G13" s="2"/>
      <c r="I13" s="2">
        <f t="shared" si="0"/>
        <v>200000</v>
      </c>
    </row>
    <row r="14" spans="1:9">
      <c r="A14" t="s">
        <v>213</v>
      </c>
      <c r="B14" s="2">
        <v>10000</v>
      </c>
      <c r="C14" s="2"/>
      <c r="D14" s="2"/>
      <c r="E14" s="2"/>
      <c r="F14" s="2"/>
      <c r="G14" s="2"/>
      <c r="I14" s="2">
        <f t="shared" si="0"/>
        <v>10000</v>
      </c>
    </row>
    <row r="15" spans="1:9">
      <c r="A15" t="s">
        <v>214</v>
      </c>
      <c r="B15" s="2">
        <f t="shared" ref="B15:G15" si="2">55000/6</f>
        <v>9166.6666666666661</v>
      </c>
      <c r="C15" s="2">
        <f t="shared" si="2"/>
        <v>9166.6666666666661</v>
      </c>
      <c r="D15" s="2">
        <f t="shared" si="2"/>
        <v>9166.6666666666661</v>
      </c>
      <c r="E15" s="2">
        <f t="shared" si="2"/>
        <v>9166.6666666666661</v>
      </c>
      <c r="F15" s="2">
        <f t="shared" si="2"/>
        <v>9166.6666666666661</v>
      </c>
      <c r="G15" s="2">
        <f t="shared" si="2"/>
        <v>9166.6666666666661</v>
      </c>
      <c r="I15" s="2">
        <f t="shared" si="0"/>
        <v>54999.999999999993</v>
      </c>
    </row>
    <row r="16" spans="1:9">
      <c r="A16" t="s">
        <v>215</v>
      </c>
      <c r="B16" s="2">
        <v>10710.71</v>
      </c>
      <c r="C16" s="2">
        <v>10710.72</v>
      </c>
      <c r="D16" s="2">
        <f>+(150000-21421.43)/4</f>
        <v>32144.642500000002</v>
      </c>
      <c r="E16" s="2">
        <f>+(150000-21421.43)/4</f>
        <v>32144.642500000002</v>
      </c>
      <c r="F16" s="2">
        <f>+(150000-21421.43)/4</f>
        <v>32144.642500000002</v>
      </c>
      <c r="G16" s="2">
        <f>+(150000-21421.43)/4</f>
        <v>32144.642500000002</v>
      </c>
      <c r="I16" s="2">
        <f t="shared" si="0"/>
        <v>150000</v>
      </c>
    </row>
    <row r="17" spans="1:9">
      <c r="A17" t="s">
        <v>233</v>
      </c>
      <c r="B17" s="2">
        <v>32001.42</v>
      </c>
      <c r="C17" s="2"/>
      <c r="D17" s="2"/>
      <c r="E17" s="2"/>
      <c r="F17" s="2"/>
      <c r="G17" s="2"/>
      <c r="I17" s="2">
        <f t="shared" si="0"/>
        <v>32001.42</v>
      </c>
    </row>
    <row r="18" spans="1:9">
      <c r="A18" t="s">
        <v>2</v>
      </c>
      <c r="B18" s="2">
        <f t="shared" ref="B18:G18" si="3">SUM(B4:B17)</f>
        <v>336045.46333066671</v>
      </c>
      <c r="C18" s="2">
        <f t="shared" si="3"/>
        <v>144044.05333066668</v>
      </c>
      <c r="D18" s="2">
        <f t="shared" si="3"/>
        <v>97477.975830666663</v>
      </c>
      <c r="E18" s="2">
        <f t="shared" si="3"/>
        <v>97477.975830666663</v>
      </c>
      <c r="F18" s="2">
        <f t="shared" si="3"/>
        <v>97477.975830666663</v>
      </c>
      <c r="G18" s="2">
        <f t="shared" si="3"/>
        <v>97477.975830666663</v>
      </c>
      <c r="I18" s="7">
        <f>SUM(I4:I17)</f>
        <v>870001.41998400004</v>
      </c>
    </row>
    <row r="19" spans="1:9">
      <c r="B19" s="2"/>
      <c r="C19" s="2"/>
      <c r="D19" s="2"/>
      <c r="E19" s="2"/>
      <c r="F19" s="2"/>
      <c r="G19" s="2"/>
      <c r="I19" s="2"/>
    </row>
    <row r="20" spans="1:9">
      <c r="B20" s="2"/>
      <c r="C20" s="2"/>
      <c r="D20" s="2"/>
      <c r="E20" s="2"/>
      <c r="F20" s="2"/>
      <c r="G20" s="2"/>
      <c r="I20" s="2"/>
    </row>
    <row r="21" spans="1:9">
      <c r="B21" s="2"/>
      <c r="C21" s="2"/>
      <c r="D21" s="2"/>
      <c r="E21" s="2"/>
      <c r="F21" s="2"/>
      <c r="G21" s="2"/>
    </row>
    <row r="22" spans="1:9">
      <c r="B22" s="2"/>
      <c r="C22" s="2"/>
      <c r="D22" s="2"/>
      <c r="E22" s="2"/>
      <c r="F22" s="2"/>
      <c r="G22" s="2"/>
    </row>
    <row r="23" spans="1:9">
      <c r="B23" s="2"/>
      <c r="C23" s="2"/>
      <c r="D23" s="2"/>
      <c r="E23" s="2"/>
      <c r="F23" s="2"/>
      <c r="G23" s="2"/>
    </row>
    <row r="24" spans="1:9">
      <c r="B24" s="2"/>
      <c r="C24" s="2"/>
      <c r="D24" s="2"/>
      <c r="E24" s="2"/>
      <c r="F24" s="2"/>
      <c r="G24" s="2"/>
    </row>
    <row r="25" spans="1:9">
      <c r="B25" s="2"/>
      <c r="C25" s="2"/>
      <c r="D25" s="2"/>
      <c r="E25" s="2"/>
      <c r="F25" s="2"/>
      <c r="G25" s="2"/>
    </row>
    <row r="26" spans="1:9">
      <c r="B26" s="2"/>
      <c r="C26" s="2"/>
      <c r="D26" s="2"/>
      <c r="E26" s="2"/>
      <c r="F26" s="2"/>
      <c r="G26" s="2"/>
    </row>
    <row r="27" spans="1:9">
      <c r="B27" s="2"/>
      <c r="C27" s="2"/>
      <c r="D27" s="2"/>
      <c r="E27" s="2"/>
      <c r="F27" s="2"/>
      <c r="G27" s="2"/>
    </row>
    <row r="28" spans="1:9">
      <c r="B28" s="2"/>
      <c r="C28" s="2"/>
      <c r="D28" s="2"/>
      <c r="E28" s="2"/>
      <c r="F28" s="2"/>
      <c r="G28" s="2"/>
    </row>
    <row r="29" spans="1:9">
      <c r="B29" s="2"/>
      <c r="C29" s="2"/>
      <c r="D29" s="2"/>
      <c r="E29" s="2"/>
      <c r="F29" s="2"/>
      <c r="G29" s="2"/>
    </row>
    <row r="30" spans="1:9">
      <c r="B30" s="2"/>
      <c r="C30" s="2"/>
      <c r="D30" s="2"/>
      <c r="E30" s="2"/>
      <c r="F30" s="2"/>
      <c r="G30" s="2"/>
    </row>
    <row r="31" spans="1:9">
      <c r="B31" s="2"/>
      <c r="C31" s="2"/>
      <c r="D31" s="2"/>
      <c r="E31" s="2"/>
      <c r="F31" s="2"/>
      <c r="G31" s="2"/>
    </row>
    <row r="32" spans="1:9">
      <c r="B32" s="2"/>
      <c r="C32" s="2"/>
      <c r="D32" s="2"/>
      <c r="E32" s="2"/>
      <c r="F32" s="2"/>
      <c r="G32" s="2"/>
    </row>
    <row r="33" spans="2:7">
      <c r="B33" s="2"/>
      <c r="C33" s="2"/>
      <c r="D33" s="2"/>
      <c r="E33" s="2"/>
      <c r="F33" s="2"/>
      <c r="G33" s="2"/>
    </row>
    <row r="34" spans="2:7">
      <c r="B34" s="2"/>
      <c r="C34" s="2"/>
      <c r="D34" s="2"/>
      <c r="E34" s="2"/>
      <c r="F34" s="2"/>
      <c r="G34" s="2"/>
    </row>
    <row r="35" spans="2:7">
      <c r="B35" s="2"/>
      <c r="C35" s="2"/>
      <c r="D35" s="2"/>
      <c r="E35" s="2"/>
      <c r="F35" s="2"/>
      <c r="G35" s="2"/>
    </row>
    <row r="36" spans="2:7">
      <c r="B36" s="2"/>
      <c r="C36" s="2"/>
      <c r="D36" s="2"/>
      <c r="E36" s="2"/>
      <c r="F36" s="2"/>
      <c r="G36" s="2"/>
    </row>
    <row r="37" spans="2:7">
      <c r="B37" s="2"/>
      <c r="C37" s="2"/>
      <c r="D37" s="2"/>
      <c r="E37" s="2"/>
      <c r="F37" s="2"/>
      <c r="G37" s="2"/>
    </row>
    <row r="38" spans="2:7">
      <c r="B38" s="2"/>
      <c r="C38" s="2"/>
      <c r="D38" s="2"/>
      <c r="E38" s="2"/>
      <c r="F38" s="2"/>
      <c r="G38" s="2"/>
    </row>
    <row r="39" spans="2:7">
      <c r="B39" s="2"/>
      <c r="C39" s="2"/>
      <c r="D39" s="2"/>
      <c r="E39" s="2"/>
      <c r="F39" s="2"/>
      <c r="G39" s="2"/>
    </row>
    <row r="40" spans="2:7">
      <c r="B40" s="2"/>
      <c r="C40" s="2"/>
      <c r="D40" s="2"/>
      <c r="E40" s="2"/>
      <c r="F40" s="2"/>
      <c r="G40" s="2"/>
    </row>
    <row r="41" spans="2:7">
      <c r="B41" s="2"/>
      <c r="C41" s="2"/>
      <c r="D41" s="2"/>
      <c r="E41" s="2"/>
      <c r="F41" s="2"/>
      <c r="G41" s="2"/>
    </row>
    <row r="42" spans="2:7">
      <c r="B42" s="2"/>
      <c r="C42" s="2"/>
      <c r="D42" s="2"/>
      <c r="E42" s="2"/>
      <c r="F42" s="2"/>
      <c r="G42" s="2"/>
    </row>
  </sheetData>
  <phoneticPr fontId="49" type="noConversion"/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opLeftCell="A4" workbookViewId="0">
      <selection activeCell="F14" sqref="F14"/>
    </sheetView>
  </sheetViews>
  <sheetFormatPr baseColWidth="10" defaultRowHeight="12.75"/>
  <cols>
    <col min="3" max="3" width="13.42578125" bestFit="1" customWidth="1"/>
    <col min="4" max="4" width="14" bestFit="1" customWidth="1"/>
    <col min="5" max="6" width="14.28515625" bestFit="1" customWidth="1"/>
    <col min="7" max="7" width="10.85546875" bestFit="1" customWidth="1"/>
    <col min="8" max="8" width="14.28515625" bestFit="1" customWidth="1"/>
    <col min="9" max="9" width="16.5703125" bestFit="1" customWidth="1"/>
    <col min="10" max="10" width="10.140625" bestFit="1" customWidth="1"/>
    <col min="11" max="11" width="13.140625" bestFit="1" customWidth="1"/>
    <col min="12" max="12" width="11.7109375" bestFit="1" customWidth="1"/>
  </cols>
  <sheetData>
    <row r="1" spans="1:11" ht="13.5" thickBot="1"/>
    <row r="2" spans="1:11" ht="13.5" thickBot="1">
      <c r="B2" s="90" t="s">
        <v>62</v>
      </c>
      <c r="C2" s="87"/>
      <c r="D2" s="87"/>
      <c r="E2" s="87"/>
      <c r="F2" s="87"/>
      <c r="G2" s="87"/>
      <c r="H2" s="87"/>
      <c r="I2" s="87"/>
      <c r="J2" s="87"/>
      <c r="K2" s="88"/>
    </row>
    <row r="3" spans="1:11">
      <c r="A3" s="1" t="s">
        <v>5</v>
      </c>
      <c r="B3" s="93" t="s">
        <v>6</v>
      </c>
      <c r="C3" s="94" t="s">
        <v>7</v>
      </c>
      <c r="D3" s="95" t="s">
        <v>287</v>
      </c>
      <c r="E3" s="94" t="s">
        <v>284</v>
      </c>
      <c r="F3" s="95" t="s">
        <v>284</v>
      </c>
      <c r="G3" s="95" t="s">
        <v>288</v>
      </c>
      <c r="H3" s="95" t="s">
        <v>288</v>
      </c>
      <c r="I3" s="95" t="s">
        <v>127</v>
      </c>
      <c r="J3" s="95" t="s">
        <v>291</v>
      </c>
      <c r="K3" s="96" t="s">
        <v>278</v>
      </c>
    </row>
    <row r="4" spans="1:11" ht="13.5" thickBot="1">
      <c r="B4" s="109"/>
      <c r="C4" s="110"/>
      <c r="D4" s="110"/>
      <c r="E4" s="111" t="s">
        <v>285</v>
      </c>
      <c r="F4" s="111" t="s">
        <v>286</v>
      </c>
      <c r="G4" s="111" t="s">
        <v>124</v>
      </c>
      <c r="H4" s="111" t="s">
        <v>289</v>
      </c>
      <c r="I4" s="111" t="s">
        <v>290</v>
      </c>
      <c r="J4" s="111" t="s">
        <v>117</v>
      </c>
      <c r="K4" s="112"/>
    </row>
    <row r="5" spans="1:11">
      <c r="A5" s="106">
        <v>39814</v>
      </c>
      <c r="B5" s="113"/>
      <c r="C5" s="114"/>
      <c r="D5" s="114"/>
      <c r="E5" s="114"/>
      <c r="F5" s="114"/>
      <c r="G5" s="114"/>
      <c r="H5" s="114"/>
      <c r="I5" s="114"/>
      <c r="J5" s="114"/>
      <c r="K5" s="115"/>
    </row>
    <row r="6" spans="1:11">
      <c r="A6" s="107">
        <v>39845</v>
      </c>
      <c r="B6" s="116"/>
      <c r="C6" s="117"/>
      <c r="D6" s="117"/>
      <c r="E6" s="117"/>
      <c r="F6" s="117"/>
      <c r="G6" s="117"/>
      <c r="H6" s="117"/>
      <c r="I6" s="117"/>
      <c r="J6" s="117"/>
      <c r="K6" s="118"/>
    </row>
    <row r="7" spans="1:11">
      <c r="A7" s="107">
        <v>39873</v>
      </c>
      <c r="B7" s="116"/>
      <c r="C7" s="117"/>
      <c r="D7" s="117"/>
      <c r="E7" s="117"/>
      <c r="F7" s="117"/>
      <c r="G7" s="117"/>
      <c r="H7" s="117"/>
      <c r="I7" s="117"/>
      <c r="J7" s="117"/>
      <c r="K7" s="118"/>
    </row>
    <row r="8" spans="1:11">
      <c r="A8" s="107">
        <v>39904</v>
      </c>
      <c r="B8" s="116"/>
      <c r="C8" s="117"/>
      <c r="D8" s="117"/>
      <c r="E8" s="117"/>
      <c r="F8" s="117"/>
      <c r="G8" s="117"/>
      <c r="H8" s="117"/>
      <c r="I8" s="117"/>
      <c r="J8" s="117"/>
      <c r="K8" s="118"/>
    </row>
    <row r="9" spans="1:11">
      <c r="A9" s="107">
        <v>39934</v>
      </c>
      <c r="B9" s="116"/>
      <c r="C9" s="117"/>
      <c r="D9" s="117"/>
      <c r="E9" s="117"/>
      <c r="F9" s="117"/>
      <c r="G9" s="117"/>
      <c r="H9" s="117"/>
      <c r="I9" s="117"/>
      <c r="J9" s="117"/>
      <c r="K9" s="118"/>
    </row>
    <row r="10" spans="1:11">
      <c r="A10" s="107">
        <v>39965</v>
      </c>
      <c r="B10" s="116"/>
      <c r="C10" s="117"/>
      <c r="D10" s="117"/>
      <c r="E10" s="117"/>
      <c r="F10" s="117"/>
      <c r="G10" s="117"/>
      <c r="H10" s="117"/>
      <c r="I10" s="117"/>
      <c r="J10" s="117"/>
      <c r="K10" s="118"/>
    </row>
    <row r="11" spans="1:11">
      <c r="A11" s="107">
        <v>39995</v>
      </c>
      <c r="B11" s="116"/>
      <c r="C11" s="117"/>
      <c r="D11" s="117"/>
      <c r="E11" s="117"/>
      <c r="F11" s="117"/>
      <c r="G11" s="117"/>
      <c r="H11" s="117"/>
      <c r="I11" s="117"/>
      <c r="J11" s="117"/>
      <c r="K11" s="118"/>
    </row>
    <row r="12" spans="1:11">
      <c r="A12" s="107">
        <v>40026</v>
      </c>
      <c r="B12" s="116">
        <f>3212+6593+2082</f>
        <v>11887</v>
      </c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>
      <c r="A13" s="107">
        <v>40057</v>
      </c>
      <c r="B13" s="116">
        <f>6424+7113.5+7287</f>
        <v>20824.5</v>
      </c>
      <c r="C13" s="117">
        <v>9680</v>
      </c>
      <c r="D13" s="117">
        <v>11500</v>
      </c>
      <c r="E13" s="117">
        <v>13097.91</v>
      </c>
      <c r="F13" s="117">
        <v>12066.34</v>
      </c>
      <c r="G13" s="117">
        <v>9660</v>
      </c>
      <c r="H13" s="117"/>
      <c r="I13" s="117">
        <f>10080+11520</f>
        <v>21600</v>
      </c>
      <c r="J13" s="117"/>
      <c r="K13" s="118"/>
    </row>
    <row r="14" spans="1:11">
      <c r="A14" s="107">
        <v>40087</v>
      </c>
      <c r="B14" s="116">
        <f>7634+6419.5+4964</f>
        <v>19017.5</v>
      </c>
      <c r="C14" s="117">
        <v>7480</v>
      </c>
      <c r="D14" s="117">
        <v>11500</v>
      </c>
      <c r="E14" s="117">
        <f>205.6+15166</f>
        <v>15371.6</v>
      </c>
      <c r="F14" s="117">
        <v>12066.34</v>
      </c>
      <c r="G14" s="117">
        <v>18480</v>
      </c>
      <c r="H14" s="117"/>
      <c r="I14" s="117">
        <f>12000+10560</f>
        <v>22560</v>
      </c>
      <c r="J14" s="117">
        <v>12100</v>
      </c>
      <c r="K14" s="118"/>
    </row>
    <row r="15" spans="1:11">
      <c r="A15" s="107">
        <v>40118</v>
      </c>
      <c r="B15" s="116">
        <f>6940+3990.5</f>
        <v>10930.5</v>
      </c>
      <c r="C15" s="117">
        <v>8800</v>
      </c>
      <c r="D15" s="117">
        <v>11500</v>
      </c>
      <c r="E15" s="117">
        <v>15730.92</v>
      </c>
      <c r="F15" s="117">
        <v>10969.4</v>
      </c>
      <c r="G15" s="117">
        <v>7980</v>
      </c>
      <c r="H15" s="117"/>
      <c r="I15" s="117">
        <f>11520+7200</f>
        <v>18720</v>
      </c>
      <c r="J15" s="117">
        <v>13568.64</v>
      </c>
      <c r="K15" s="118"/>
    </row>
    <row r="16" spans="1:11">
      <c r="A16" s="107">
        <v>40148</v>
      </c>
      <c r="B16" s="116">
        <f>6246+3817</f>
        <v>10063</v>
      </c>
      <c r="C16" s="117">
        <v>7920</v>
      </c>
      <c r="D16" s="117">
        <v>11500</v>
      </c>
      <c r="E16" s="117">
        <v>13303.51</v>
      </c>
      <c r="F16" s="117">
        <v>12066.34</v>
      </c>
      <c r="G16" s="117">
        <v>2400</v>
      </c>
      <c r="H16" s="117">
        <v>7600</v>
      </c>
      <c r="I16" s="117">
        <f>7920+10560</f>
        <v>18480</v>
      </c>
      <c r="J16" s="117">
        <v>14498.08</v>
      </c>
      <c r="K16" s="118"/>
    </row>
    <row r="17" spans="1:11">
      <c r="A17" s="107">
        <v>40179</v>
      </c>
      <c r="B17" s="116">
        <v>6940</v>
      </c>
      <c r="C17" s="117">
        <v>8800</v>
      </c>
      <c r="D17" s="117">
        <v>11500</v>
      </c>
      <c r="E17" s="117">
        <v>15166</v>
      </c>
      <c r="F17" s="117">
        <v>10969.4</v>
      </c>
      <c r="G17" s="117"/>
      <c r="H17" s="117">
        <v>8000</v>
      </c>
      <c r="I17" s="117">
        <f>8640+9600</f>
        <v>18240</v>
      </c>
      <c r="J17" s="117">
        <v>11966.8</v>
      </c>
      <c r="K17" s="118"/>
    </row>
    <row r="18" spans="1:11">
      <c r="A18" s="107">
        <v>40210</v>
      </c>
      <c r="B18" s="116">
        <v>6940</v>
      </c>
      <c r="C18" s="117">
        <v>7920</v>
      </c>
      <c r="D18" s="117">
        <v>11500</v>
      </c>
      <c r="E18" s="117">
        <v>15166</v>
      </c>
      <c r="F18" s="117">
        <v>10969.4</v>
      </c>
      <c r="G18" s="117"/>
      <c r="H18" s="117"/>
      <c r="I18" s="117">
        <f>9600+9600</f>
        <v>19200</v>
      </c>
      <c r="J18" s="117">
        <v>11300</v>
      </c>
      <c r="K18" s="118"/>
    </row>
    <row r="19" spans="1:11">
      <c r="A19" s="107">
        <v>40238</v>
      </c>
      <c r="B19" s="116">
        <v>3470</v>
      </c>
      <c r="C19" s="117">
        <v>10120</v>
      </c>
      <c r="D19" s="117">
        <v>11500</v>
      </c>
      <c r="E19" s="117">
        <v>15995.11</v>
      </c>
      <c r="F19" s="117">
        <v>12614.81</v>
      </c>
      <c r="G19" s="117"/>
      <c r="H19" s="117">
        <v>5200</v>
      </c>
      <c r="I19" s="117">
        <f>9600+11040</f>
        <v>20640</v>
      </c>
      <c r="J19" s="117">
        <f>12995+138.1</f>
        <v>13133.1</v>
      </c>
      <c r="K19" s="118"/>
    </row>
    <row r="20" spans="1:11">
      <c r="A20" s="107">
        <v>40269</v>
      </c>
      <c r="B20" s="116"/>
      <c r="C20" s="117">
        <v>7480</v>
      </c>
      <c r="D20" s="117">
        <v>15000</v>
      </c>
      <c r="E20" s="117">
        <v>15722.57</v>
      </c>
      <c r="F20" s="117">
        <v>12066.34</v>
      </c>
      <c r="G20" s="117"/>
      <c r="H20" s="117"/>
      <c r="I20" s="117">
        <f>10080+10080</f>
        <v>20160</v>
      </c>
      <c r="J20" s="117">
        <v>10735</v>
      </c>
      <c r="K20" s="118"/>
    </row>
    <row r="21" spans="1:11">
      <c r="A21" s="107">
        <v>40299</v>
      </c>
      <c r="B21" s="116"/>
      <c r="C21" s="117">
        <v>7920</v>
      </c>
      <c r="D21" s="117"/>
      <c r="E21" s="117">
        <v>15166</v>
      </c>
      <c r="F21" s="117">
        <v>3839.29</v>
      </c>
      <c r="G21" s="117"/>
      <c r="H21" s="117"/>
      <c r="I21" s="117">
        <f>9120+8640</f>
        <v>17760</v>
      </c>
      <c r="J21" s="117">
        <f>12040.24+385.53</f>
        <v>12425.77</v>
      </c>
      <c r="K21" s="118"/>
    </row>
    <row r="22" spans="1:11">
      <c r="A22" s="107">
        <v>40330</v>
      </c>
      <c r="B22" s="116"/>
      <c r="C22" s="117">
        <v>9240</v>
      </c>
      <c r="D22" s="117"/>
      <c r="E22" s="117">
        <v>9802.59</v>
      </c>
      <c r="F22" s="117"/>
      <c r="G22" s="117"/>
      <c r="H22" s="117"/>
      <c r="I22" s="117">
        <f>14305+10560</f>
        <v>24865</v>
      </c>
      <c r="J22" s="117">
        <v>13968.55</v>
      </c>
      <c r="K22" s="118"/>
    </row>
    <row r="23" spans="1:11">
      <c r="A23" s="107">
        <v>40360</v>
      </c>
      <c r="B23" s="116"/>
      <c r="C23" s="117">
        <v>4840</v>
      </c>
      <c r="D23" s="117"/>
      <c r="E23" s="117">
        <v>21601</v>
      </c>
      <c r="F23" s="117"/>
      <c r="G23" s="117"/>
      <c r="H23" s="117"/>
      <c r="I23" s="117">
        <v>5280</v>
      </c>
      <c r="J23" s="117">
        <v>10338.57</v>
      </c>
      <c r="K23" s="118"/>
    </row>
    <row r="24" spans="1:11">
      <c r="A24" s="107">
        <v>40391</v>
      </c>
      <c r="B24" s="116"/>
      <c r="C24" s="117"/>
      <c r="D24" s="117"/>
      <c r="E24" s="117">
        <v>17311</v>
      </c>
      <c r="F24" s="117"/>
      <c r="G24" s="117"/>
      <c r="H24" s="117"/>
      <c r="I24" s="117">
        <f>14765+5280</f>
        <v>20045</v>
      </c>
      <c r="J24" s="117">
        <v>13477.63</v>
      </c>
      <c r="K24" s="118"/>
    </row>
    <row r="25" spans="1:11">
      <c r="A25" s="107">
        <v>40422</v>
      </c>
      <c r="B25" s="116"/>
      <c r="C25" s="117"/>
      <c r="D25" s="117"/>
      <c r="E25" s="117">
        <v>13177.95</v>
      </c>
      <c r="F25" s="117"/>
      <c r="G25" s="117"/>
      <c r="H25" s="117"/>
      <c r="I25" s="117">
        <f>9120+13400</f>
        <v>22520</v>
      </c>
      <c r="J25" s="117">
        <f>14563.51</f>
        <v>14563.51</v>
      </c>
      <c r="K25" s="118"/>
    </row>
    <row r="26" spans="1:11">
      <c r="A26" s="107">
        <v>40452</v>
      </c>
      <c r="B26" s="116"/>
      <c r="C26" s="117"/>
      <c r="D26" s="117"/>
      <c r="E26" s="117">
        <v>18606</v>
      </c>
      <c r="F26" s="117"/>
      <c r="G26" s="117"/>
      <c r="H26" s="117"/>
      <c r="I26" s="117">
        <f>10080+8640</f>
        <v>18720</v>
      </c>
      <c r="J26" s="117">
        <v>13839.46</v>
      </c>
      <c r="K26" s="118"/>
    </row>
    <row r="27" spans="1:11">
      <c r="A27" s="107">
        <v>40483</v>
      </c>
      <c r="B27" s="116"/>
      <c r="C27" s="117"/>
      <c r="D27" s="117"/>
      <c r="E27" s="117">
        <v>16716</v>
      </c>
      <c r="F27" s="117"/>
      <c r="G27" s="117"/>
      <c r="H27" s="117"/>
      <c r="I27" s="117">
        <f>9120+2400</f>
        <v>11520</v>
      </c>
      <c r="J27" s="117">
        <v>12570.06</v>
      </c>
      <c r="K27" s="118">
        <f>22376.53</f>
        <v>22376.53</v>
      </c>
    </row>
    <row r="28" spans="1:11">
      <c r="A28" s="107">
        <v>40513</v>
      </c>
      <c r="B28" s="116"/>
      <c r="C28" s="117"/>
      <c r="D28" s="117"/>
      <c r="E28" s="117"/>
      <c r="F28" s="117"/>
      <c r="G28" s="117"/>
      <c r="H28" s="117"/>
      <c r="I28" s="117"/>
      <c r="J28" s="117"/>
      <c r="K28" s="118"/>
    </row>
    <row r="29" spans="1:11">
      <c r="A29" s="107">
        <v>40544</v>
      </c>
      <c r="B29" s="116"/>
      <c r="C29" s="117"/>
      <c r="D29" s="117"/>
      <c r="E29" s="117"/>
      <c r="F29" s="117"/>
      <c r="G29" s="117"/>
      <c r="H29" s="117"/>
      <c r="I29" s="117"/>
      <c r="J29" s="117"/>
      <c r="K29" s="118"/>
    </row>
    <row r="30" spans="1:11">
      <c r="A30" s="107">
        <v>40575</v>
      </c>
      <c r="B30" s="116"/>
      <c r="C30" s="117"/>
      <c r="D30" s="117"/>
      <c r="E30" s="117"/>
      <c r="F30" s="117"/>
      <c r="G30" s="117"/>
      <c r="H30" s="117"/>
      <c r="I30" s="117"/>
      <c r="J30" s="117"/>
      <c r="K30" s="118">
        <v>7812.69</v>
      </c>
    </row>
    <row r="31" spans="1:11">
      <c r="A31" s="107">
        <v>40603</v>
      </c>
      <c r="B31" s="116"/>
      <c r="C31" s="119"/>
      <c r="D31" s="119"/>
      <c r="E31" s="119"/>
      <c r="F31" s="119"/>
      <c r="G31" s="119"/>
      <c r="H31" s="119"/>
      <c r="I31" s="119"/>
      <c r="J31" s="119"/>
      <c r="K31" s="120"/>
    </row>
    <row r="32" spans="1:11" ht="13.5" thickBot="1">
      <c r="A32" s="108">
        <v>40634</v>
      </c>
      <c r="B32" s="121"/>
      <c r="C32" s="122"/>
      <c r="D32" s="122"/>
      <c r="E32" s="122"/>
      <c r="F32" s="122"/>
      <c r="G32" s="122"/>
      <c r="H32" s="122"/>
      <c r="I32" s="122"/>
      <c r="J32" s="122"/>
      <c r="K32" s="123"/>
    </row>
    <row r="33" spans="1:12" ht="13.5" thickBot="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2" ht="13.5" thickBot="1">
      <c r="A34" s="101" t="s">
        <v>177</v>
      </c>
      <c r="B34" s="124">
        <f>SUM(B5:B33)</f>
        <v>90072.5</v>
      </c>
      <c r="C34" s="124">
        <f t="shared" ref="C34:K34" si="0">SUM(C5:C33)</f>
        <v>90200</v>
      </c>
      <c r="D34" s="124">
        <f t="shared" si="0"/>
        <v>95500</v>
      </c>
      <c r="E34" s="124">
        <f t="shared" si="0"/>
        <v>231934.16</v>
      </c>
      <c r="F34" s="124">
        <f t="shared" si="0"/>
        <v>97627.659999999989</v>
      </c>
      <c r="G34" s="124">
        <f t="shared" si="0"/>
        <v>38520</v>
      </c>
      <c r="H34" s="124">
        <f t="shared" si="0"/>
        <v>20800</v>
      </c>
      <c r="I34" s="124">
        <f t="shared" si="0"/>
        <v>280310</v>
      </c>
      <c r="J34" s="124">
        <f t="shared" si="0"/>
        <v>178485.17</v>
      </c>
      <c r="K34" s="124">
        <f t="shared" si="0"/>
        <v>30189.219999999998</v>
      </c>
      <c r="L34" s="103">
        <f>SUM(B34:K34)</f>
        <v>1153638.71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25"/>
  <sheetViews>
    <sheetView topLeftCell="S1" workbookViewId="0">
      <selection activeCell="AF25" sqref="AF25"/>
    </sheetView>
  </sheetViews>
  <sheetFormatPr baseColWidth="10" defaultRowHeight="12.75"/>
  <cols>
    <col min="4" max="4" width="18.5703125" bestFit="1" customWidth="1"/>
    <col min="5" max="5" width="17.140625" bestFit="1" customWidth="1"/>
    <col min="6" max="6" width="9" bestFit="1" customWidth="1"/>
    <col min="7" max="7" width="21.85546875" bestFit="1" customWidth="1"/>
    <col min="8" max="8" width="12.7109375" bestFit="1" customWidth="1"/>
    <col min="9" max="9" width="13.7109375" bestFit="1" customWidth="1"/>
    <col min="10" max="10" width="13.140625" bestFit="1" customWidth="1"/>
    <col min="11" max="11" width="16.5703125" bestFit="1" customWidth="1"/>
    <col min="12" max="12" width="13.28515625" bestFit="1" customWidth="1"/>
    <col min="13" max="13" width="13.140625" bestFit="1" customWidth="1"/>
    <col min="14" max="14" width="9.85546875" bestFit="1" customWidth="1"/>
    <col min="15" max="15" width="11.7109375" bestFit="1" customWidth="1"/>
    <col min="16" max="16" width="8.140625" bestFit="1" customWidth="1"/>
    <col min="17" max="17" width="9.5703125" bestFit="1" customWidth="1"/>
    <col min="18" max="18" width="9.140625" bestFit="1" customWidth="1"/>
    <col min="19" max="19" width="11.85546875" bestFit="1" customWidth="1"/>
    <col min="20" max="20" width="9.85546875" bestFit="1" customWidth="1"/>
    <col min="21" max="21" width="14.42578125" bestFit="1" customWidth="1"/>
    <col min="22" max="22" width="13.42578125" bestFit="1" customWidth="1"/>
    <col min="23" max="23" width="11.85546875" bestFit="1" customWidth="1"/>
    <col min="24" max="24" width="8.28515625" bestFit="1" customWidth="1"/>
    <col min="25" max="25" width="9.7109375" bestFit="1" customWidth="1"/>
    <col min="26" max="26" width="19" bestFit="1" customWidth="1"/>
    <col min="27" max="27" width="10.7109375" bestFit="1" customWidth="1"/>
    <col min="28" max="28" width="8.5703125" bestFit="1" customWidth="1"/>
    <col min="29" max="29" width="11.5703125" bestFit="1" customWidth="1"/>
    <col min="31" max="31" width="21.5703125" bestFit="1" customWidth="1"/>
  </cols>
  <sheetData>
    <row r="1" spans="1:32" ht="13.5" thickBot="1">
      <c r="B1" s="143" t="s">
        <v>51</v>
      </c>
      <c r="C1" s="144" t="s">
        <v>53</v>
      </c>
      <c r="D1" s="144" t="s">
        <v>65</v>
      </c>
      <c r="E1" s="144" t="s">
        <v>67</v>
      </c>
      <c r="F1" s="144" t="s">
        <v>56</v>
      </c>
      <c r="G1" s="144" t="s">
        <v>69</v>
      </c>
      <c r="H1" s="144" t="s">
        <v>72</v>
      </c>
      <c r="I1" s="144" t="s">
        <v>71</v>
      </c>
      <c r="J1" s="144" t="s">
        <v>75</v>
      </c>
      <c r="K1" s="144" t="s">
        <v>59</v>
      </c>
      <c r="L1" s="144" t="s">
        <v>80</v>
      </c>
      <c r="M1" s="144" t="s">
        <v>76</v>
      </c>
      <c r="N1" s="144" t="s">
        <v>83</v>
      </c>
      <c r="O1" s="144" t="s">
        <v>84</v>
      </c>
      <c r="P1" s="144"/>
      <c r="Q1" s="144" t="s">
        <v>85</v>
      </c>
      <c r="R1" s="144" t="s">
        <v>87</v>
      </c>
      <c r="S1" s="144" t="s">
        <v>256</v>
      </c>
      <c r="T1" s="144" t="s">
        <v>271</v>
      </c>
      <c r="U1" s="144" t="s">
        <v>258</v>
      </c>
      <c r="V1" s="144" t="s">
        <v>259</v>
      </c>
      <c r="W1" s="144" t="s">
        <v>265</v>
      </c>
      <c r="X1" s="144" t="s">
        <v>260</v>
      </c>
      <c r="Y1" s="144" t="s">
        <v>261</v>
      </c>
      <c r="Z1" s="144" t="s">
        <v>262</v>
      </c>
      <c r="AA1" s="144" t="s">
        <v>94</v>
      </c>
      <c r="AB1" s="144" t="s">
        <v>261</v>
      </c>
      <c r="AC1" s="144" t="s">
        <v>94</v>
      </c>
      <c r="AD1" s="144" t="s">
        <v>249</v>
      </c>
      <c r="AE1" s="145" t="s">
        <v>268</v>
      </c>
      <c r="AF1" s="146"/>
    </row>
    <row r="2" spans="1:32" ht="13.5" thickBot="1">
      <c r="A2" s="25" t="s">
        <v>5</v>
      </c>
      <c r="B2" s="147" t="s">
        <v>19</v>
      </c>
      <c r="C2" s="148" t="s">
        <v>52</v>
      </c>
      <c r="D2" s="148" t="s">
        <v>20</v>
      </c>
      <c r="E2" s="148" t="s">
        <v>54</v>
      </c>
      <c r="F2" s="148" t="s">
        <v>55</v>
      </c>
      <c r="G2" s="148" t="s">
        <v>23</v>
      </c>
      <c r="H2" s="148" t="s">
        <v>57</v>
      </c>
      <c r="I2" s="148" t="s">
        <v>25</v>
      </c>
      <c r="J2" s="148" t="s">
        <v>58</v>
      </c>
      <c r="K2" s="148" t="s">
        <v>31</v>
      </c>
      <c r="L2" s="148" t="s">
        <v>61</v>
      </c>
      <c r="M2" s="148" t="s">
        <v>36</v>
      </c>
      <c r="N2" s="148" t="s">
        <v>41</v>
      </c>
      <c r="O2" s="148" t="s">
        <v>42</v>
      </c>
      <c r="P2" s="148" t="s">
        <v>43</v>
      </c>
      <c r="Q2" s="148" t="s">
        <v>47</v>
      </c>
      <c r="R2" s="148" t="s">
        <v>60</v>
      </c>
      <c r="S2" s="148" t="s">
        <v>217</v>
      </c>
      <c r="T2" s="148" t="s">
        <v>220</v>
      </c>
      <c r="U2" s="148" t="s">
        <v>236</v>
      </c>
      <c r="V2" s="148" t="s">
        <v>238</v>
      </c>
      <c r="W2" s="148" t="s">
        <v>239</v>
      </c>
      <c r="X2" s="148" t="s">
        <v>240</v>
      </c>
      <c r="Y2" s="148" t="s">
        <v>241</v>
      </c>
      <c r="Z2" s="148" t="s">
        <v>242</v>
      </c>
      <c r="AA2" s="148" t="s">
        <v>243</v>
      </c>
      <c r="AB2" s="148" t="s">
        <v>244</v>
      </c>
      <c r="AC2" s="148" t="s">
        <v>246</v>
      </c>
      <c r="AD2" s="148" t="s">
        <v>127</v>
      </c>
      <c r="AE2" s="149" t="s">
        <v>253</v>
      </c>
      <c r="AF2" s="146"/>
    </row>
    <row r="3" spans="1:32">
      <c r="A3" s="106">
        <v>40026</v>
      </c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2"/>
      <c r="AF3" s="146"/>
    </row>
    <row r="4" spans="1:32">
      <c r="A4" s="107">
        <v>40057</v>
      </c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5"/>
      <c r="AF4" s="146"/>
    </row>
    <row r="5" spans="1:32">
      <c r="A5" s="107">
        <v>40087</v>
      </c>
      <c r="B5" s="153">
        <v>14336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5"/>
      <c r="AF5" s="146"/>
    </row>
    <row r="6" spans="1:32">
      <c r="A6" s="107">
        <v>40118</v>
      </c>
      <c r="B6" s="153">
        <f>14400.45+14657.37+14560</f>
        <v>43617.82</v>
      </c>
      <c r="C6" s="154">
        <f>628.96+334.04+330+628.96</f>
        <v>1921.96</v>
      </c>
      <c r="D6" s="154">
        <v>2497.5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5"/>
      <c r="AF6" s="146"/>
    </row>
    <row r="7" spans="1:32">
      <c r="A7" s="107">
        <v>40148</v>
      </c>
      <c r="B7" s="153">
        <f>14976+15040+15040+15040+14737.02+14720+15364.32+15360.48+15360+6860+15691.27+15003.5+14720.46+16020.5</f>
        <v>203933.55</v>
      </c>
      <c r="C7" s="154">
        <v>330</v>
      </c>
      <c r="D7" s="154">
        <v>35</v>
      </c>
      <c r="E7" s="154">
        <f>301.95+161.7</f>
        <v>463.65</v>
      </c>
      <c r="F7" s="154">
        <f>798.83+877.07+202.1+590.48</f>
        <v>2468.48</v>
      </c>
      <c r="G7" s="154">
        <v>1196.6400000000001</v>
      </c>
      <c r="H7" s="154">
        <f>1725+3340.75+1194.25</f>
        <v>6260</v>
      </c>
      <c r="I7" s="154">
        <v>2304.4</v>
      </c>
      <c r="J7" s="154">
        <v>3850.82</v>
      </c>
      <c r="K7" s="154">
        <v>11118.8</v>
      </c>
      <c r="L7" s="154">
        <v>200</v>
      </c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5"/>
      <c r="AF7" s="146"/>
    </row>
    <row r="8" spans="1:32">
      <c r="A8" s="107">
        <v>40179</v>
      </c>
      <c r="B8" s="153">
        <f>16960+14275.12+13195+15846.44+15852.38</f>
        <v>76128.94</v>
      </c>
      <c r="C8" s="154">
        <f>12+12</f>
        <v>24</v>
      </c>
      <c r="D8" s="154"/>
      <c r="E8" s="154">
        <v>140.69999999999999</v>
      </c>
      <c r="F8" s="154">
        <f>598.6+849.04</f>
        <v>1447.6399999999999</v>
      </c>
      <c r="G8" s="154"/>
      <c r="H8" s="154">
        <v>9495</v>
      </c>
      <c r="I8" s="154"/>
      <c r="J8" s="154">
        <f>3056.94+3633.56-3850.82</f>
        <v>2839.68</v>
      </c>
      <c r="K8" s="154">
        <f>5704.6+11880</f>
        <v>17584.599999999999</v>
      </c>
      <c r="L8" s="154"/>
      <c r="M8" s="154">
        <v>21562.799999999999</v>
      </c>
      <c r="N8" s="154">
        <f>2927.7+2459</f>
        <v>5386.7</v>
      </c>
      <c r="O8" s="154">
        <v>843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5"/>
      <c r="AF8" s="146"/>
    </row>
    <row r="9" spans="1:32">
      <c r="A9" s="107">
        <v>40210</v>
      </c>
      <c r="B9" s="153">
        <f>16160+15520</f>
        <v>31680</v>
      </c>
      <c r="C9" s="154"/>
      <c r="D9" s="154"/>
      <c r="E9" s="154"/>
      <c r="F9" s="154">
        <f>878.7+887.9+860.6</f>
        <v>2627.2</v>
      </c>
      <c r="G9" s="154"/>
      <c r="H9" s="154">
        <f>345+2810</f>
        <v>3155</v>
      </c>
      <c r="I9" s="154">
        <v>35</v>
      </c>
      <c r="J9" s="154">
        <f>2561.22</f>
        <v>2561.2199999999998</v>
      </c>
      <c r="K9" s="154">
        <f>17201.8+7684.6</f>
        <v>24886.400000000001</v>
      </c>
      <c r="L9" s="154"/>
      <c r="M9" s="154"/>
      <c r="N9" s="154">
        <v>23768.5</v>
      </c>
      <c r="O9" s="154">
        <f>1922.76</f>
        <v>1922.76</v>
      </c>
      <c r="P9" s="154">
        <f>3765+2537.6</f>
        <v>6302.6</v>
      </c>
      <c r="Q9" s="154">
        <f>1461.68+82.15</f>
        <v>1543.8300000000002</v>
      </c>
      <c r="R9" s="154">
        <f>7600+4200</f>
        <v>11800</v>
      </c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5"/>
      <c r="AF9" s="146"/>
    </row>
    <row r="10" spans="1:32">
      <c r="A10" s="107">
        <v>40238</v>
      </c>
      <c r="B10" s="153"/>
      <c r="C10" s="154">
        <f>-12+4.04</f>
        <v>-7.96</v>
      </c>
      <c r="D10" s="154"/>
      <c r="E10" s="154"/>
      <c r="F10" s="154"/>
      <c r="G10" s="154"/>
      <c r="H10" s="154">
        <f>1207.5+172.5+2070</f>
        <v>3450</v>
      </c>
      <c r="I10" s="154"/>
      <c r="J10" s="154"/>
      <c r="K10" s="154"/>
      <c r="L10" s="154"/>
      <c r="M10" s="154"/>
      <c r="N10" s="154"/>
      <c r="O10" s="154">
        <v>161.46</v>
      </c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5"/>
      <c r="AF10" s="146"/>
    </row>
    <row r="11" spans="1:32">
      <c r="A11" s="107">
        <v>40269</v>
      </c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>
        <v>-161.46</v>
      </c>
      <c r="P11" s="154"/>
      <c r="Q11" s="154">
        <v>-1461.68</v>
      </c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6" t="s">
        <v>250</v>
      </c>
      <c r="AE11" s="157"/>
      <c r="AF11" s="146"/>
    </row>
    <row r="12" spans="1:32">
      <c r="A12" s="107">
        <v>40299</v>
      </c>
      <c r="B12" s="153"/>
      <c r="C12" s="154"/>
      <c r="D12" s="154"/>
      <c r="E12" s="154"/>
      <c r="F12" s="154"/>
      <c r="G12" s="154"/>
      <c r="H12" s="154"/>
      <c r="I12" s="154"/>
      <c r="J12" s="154">
        <v>3050.82</v>
      </c>
      <c r="K12" s="154"/>
      <c r="L12" s="154"/>
      <c r="M12" s="154"/>
      <c r="N12" s="154"/>
      <c r="O12" s="154"/>
      <c r="P12" s="154"/>
      <c r="Q12" s="154">
        <f>1461.68-226.5</f>
        <v>1235.18</v>
      </c>
      <c r="R12" s="154"/>
      <c r="S12" s="154">
        <v>942.8</v>
      </c>
      <c r="T12" s="154">
        <v>3740</v>
      </c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5"/>
      <c r="AF12" s="146"/>
    </row>
    <row r="13" spans="1:32">
      <c r="A13" s="107">
        <v>40330</v>
      </c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>
        <v>4566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5"/>
      <c r="AF13" s="146"/>
    </row>
    <row r="14" spans="1:32">
      <c r="A14" s="107">
        <v>40360</v>
      </c>
      <c r="B14" s="153">
        <f>7475+7150</f>
        <v>14625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>
        <v>9443.7000000000007</v>
      </c>
      <c r="W14" s="154">
        <f>150+580</f>
        <v>730</v>
      </c>
      <c r="X14" s="154">
        <v>1098</v>
      </c>
      <c r="Y14" s="154"/>
      <c r="Z14" s="154"/>
      <c r="AA14" s="154"/>
      <c r="AB14" s="154"/>
      <c r="AC14" s="154"/>
      <c r="AD14" s="154"/>
      <c r="AE14" s="155"/>
      <c r="AF14" s="146"/>
    </row>
    <row r="15" spans="1:32">
      <c r="A15" s="107">
        <v>40391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>
        <v>40000</v>
      </c>
      <c r="P15" s="154"/>
      <c r="Q15" s="154">
        <v>43.22</v>
      </c>
      <c r="R15" s="154"/>
      <c r="S15" s="154">
        <f>1905.76-1905.76+381.92+421.92+1123.52+550.32</f>
        <v>2477.6800000000003</v>
      </c>
      <c r="T15" s="154"/>
      <c r="U15" s="154"/>
      <c r="V15" s="154"/>
      <c r="W15" s="154">
        <v>2900</v>
      </c>
      <c r="X15" s="154"/>
      <c r="Y15" s="154">
        <f>1474.83+5576.85</f>
        <v>7051.68</v>
      </c>
      <c r="Z15" s="154">
        <v>4649.6000000000004</v>
      </c>
      <c r="AA15" s="154">
        <v>300</v>
      </c>
      <c r="AB15" s="154"/>
      <c r="AC15" s="154"/>
      <c r="AD15" s="154"/>
      <c r="AE15" s="155"/>
      <c r="AF15" s="146"/>
    </row>
    <row r="16" spans="1:32">
      <c r="A16" s="107">
        <v>40422</v>
      </c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>
        <v>2362</v>
      </c>
      <c r="X16" s="154"/>
      <c r="Y16" s="154">
        <f>5805</f>
        <v>5805</v>
      </c>
      <c r="Z16" s="154"/>
      <c r="AA16" s="154"/>
      <c r="AB16" s="154">
        <v>6773</v>
      </c>
      <c r="AC16" s="154">
        <v>200</v>
      </c>
      <c r="AD16" s="154">
        <v>3462</v>
      </c>
      <c r="AE16" s="155"/>
      <c r="AF16" s="146"/>
    </row>
    <row r="17" spans="1:32">
      <c r="A17" s="107">
        <v>40452</v>
      </c>
      <c r="B17" s="153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>
        <f>9.81+9.15+63.68+66.33+21.15</f>
        <v>170.12</v>
      </c>
      <c r="R17" s="154"/>
      <c r="S17" s="154"/>
      <c r="T17" s="154"/>
      <c r="U17" s="154"/>
      <c r="V17" s="154"/>
      <c r="W17" s="154">
        <f>3937</f>
        <v>3937</v>
      </c>
      <c r="X17" s="154"/>
      <c r="Y17" s="154"/>
      <c r="Z17" s="154"/>
      <c r="AA17" s="154"/>
      <c r="AB17" s="154"/>
      <c r="AC17" s="154"/>
      <c r="AD17" s="154"/>
      <c r="AE17" s="155">
        <v>29330</v>
      </c>
      <c r="AF17" s="146"/>
    </row>
    <row r="18" spans="1:32">
      <c r="A18" s="107">
        <v>40483</v>
      </c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>
        <f>11085.48*30%</f>
        <v>3325.6439999999998</v>
      </c>
      <c r="AE18" s="155"/>
      <c r="AF18" s="146"/>
    </row>
    <row r="19" spans="1:32">
      <c r="A19" s="107">
        <v>40513</v>
      </c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>
        <v>16.11</v>
      </c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5"/>
      <c r="AF19" s="146"/>
    </row>
    <row r="20" spans="1:32">
      <c r="A20" s="107">
        <v>40544</v>
      </c>
      <c r="B20" s="153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>
        <v>18695.7</v>
      </c>
      <c r="W20" s="154"/>
      <c r="X20" s="154"/>
      <c r="Y20" s="154"/>
      <c r="Z20" s="154"/>
      <c r="AA20" s="154"/>
      <c r="AB20" s="154"/>
      <c r="AC20" s="154"/>
      <c r="AD20" s="154"/>
      <c r="AE20" s="155"/>
      <c r="AF20" s="146"/>
    </row>
    <row r="21" spans="1:32">
      <c r="A21" s="107">
        <v>40575</v>
      </c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5"/>
      <c r="AF21" s="146"/>
    </row>
    <row r="22" spans="1:32">
      <c r="A22" s="107">
        <v>40603</v>
      </c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>
        <f>135+135+135+135-540</f>
        <v>0</v>
      </c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>
        <v>2194.2399999999998</v>
      </c>
      <c r="AE22" s="155"/>
      <c r="AF22" s="146"/>
    </row>
    <row r="23" spans="1:32" ht="13.5" thickBot="1">
      <c r="A23" s="108">
        <v>40634</v>
      </c>
      <c r="B23" s="158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>
        <f>11085.48*70%</f>
        <v>7759.8359999999993</v>
      </c>
      <c r="AE23" s="160"/>
      <c r="AF23" s="146"/>
    </row>
    <row r="24" spans="1:32" ht="13.5" thickBot="1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</row>
    <row r="25" spans="1:32" ht="13.5" thickBot="1">
      <c r="A25" s="142" t="s">
        <v>177</v>
      </c>
      <c r="B25" s="161">
        <f>SUM(B3:B24)</f>
        <v>384321.31</v>
      </c>
      <c r="C25" s="162">
        <f>SUM(C3:C24)</f>
        <v>2268</v>
      </c>
      <c r="D25" s="162">
        <f>SUM(D3:D24)</f>
        <v>2532.5</v>
      </c>
      <c r="E25" s="162">
        <f>SUM(E3:E24)</f>
        <v>604.34999999999991</v>
      </c>
      <c r="F25" s="162">
        <f>SUM(F3:F24)</f>
        <v>6543.32</v>
      </c>
      <c r="G25" s="162">
        <f>SUM(G3:G24)</f>
        <v>1196.6400000000001</v>
      </c>
      <c r="H25" s="162">
        <f>SUM(H3:H24)</f>
        <v>22360</v>
      </c>
      <c r="I25" s="162">
        <f>SUM(I3:I24)</f>
        <v>2339.4</v>
      </c>
      <c r="J25" s="162">
        <f>SUM(J3:J24)</f>
        <v>12302.539999999999</v>
      </c>
      <c r="K25" s="162">
        <f>SUM(K3:K24)</f>
        <v>53589.8</v>
      </c>
      <c r="L25" s="162">
        <f>SUM(L3:L24)</f>
        <v>200</v>
      </c>
      <c r="M25" s="162">
        <f>SUM(M3:M24)</f>
        <v>21562.799999999999</v>
      </c>
      <c r="N25" s="162">
        <f>SUM(N3:N24)</f>
        <v>29155.200000000001</v>
      </c>
      <c r="O25" s="162">
        <f>SUM(O3:O24)</f>
        <v>42765.760000000002</v>
      </c>
      <c r="P25" s="162">
        <f>SUM(P3:P24)</f>
        <v>6302.6</v>
      </c>
      <c r="Q25" s="162">
        <f>SUM(Q3:Q24)</f>
        <v>1546.78</v>
      </c>
      <c r="R25" s="162">
        <f>SUM(R3:R24)</f>
        <v>11800</v>
      </c>
      <c r="S25" s="162">
        <f>SUM(S3:S24)</f>
        <v>3420.4800000000005</v>
      </c>
      <c r="T25" s="162">
        <f>SUM(T3:T24)</f>
        <v>3740</v>
      </c>
      <c r="U25" s="162">
        <f>SUM(U3:U24)</f>
        <v>4566</v>
      </c>
      <c r="V25" s="162">
        <f>SUM(V3:V24)</f>
        <v>28139.4</v>
      </c>
      <c r="W25" s="162">
        <f>SUM(W3:W24)</f>
        <v>9929</v>
      </c>
      <c r="X25" s="162">
        <f>SUM(X3:X24)</f>
        <v>1098</v>
      </c>
      <c r="Y25" s="162">
        <f>SUM(Y3:Y24)</f>
        <v>12856.68</v>
      </c>
      <c r="Z25" s="162">
        <f>SUM(Z3:Z24)</f>
        <v>4649.6000000000004</v>
      </c>
      <c r="AA25" s="162">
        <f>SUM(AA3:AA24)</f>
        <v>300</v>
      </c>
      <c r="AB25" s="162">
        <f>SUM(AB3:AB24)</f>
        <v>6773</v>
      </c>
      <c r="AC25" s="162">
        <f>SUM(AC3:AC24)</f>
        <v>200</v>
      </c>
      <c r="AD25" s="162">
        <f>SUM(AD3:AD24)</f>
        <v>16741.72</v>
      </c>
      <c r="AE25" s="163">
        <f>SUM(AE3:AE24)</f>
        <v>29330</v>
      </c>
      <c r="AF25" s="172">
        <f>SUM(B25:AE25)</f>
        <v>723134.88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26"/>
  <sheetViews>
    <sheetView topLeftCell="Z1" workbookViewId="0">
      <selection activeCell="AG22" sqref="AG22"/>
    </sheetView>
  </sheetViews>
  <sheetFormatPr baseColWidth="10" defaultRowHeight="12.75"/>
  <cols>
    <col min="2" max="2" width="19.28515625" bestFit="1" customWidth="1"/>
    <col min="3" max="3" width="13.42578125" bestFit="1" customWidth="1"/>
    <col min="4" max="4" width="22.42578125" bestFit="1" customWidth="1"/>
    <col min="5" max="5" width="9.7109375" bestFit="1" customWidth="1"/>
    <col min="6" max="6" width="18" bestFit="1" customWidth="1"/>
    <col min="7" max="7" width="16.28515625" bestFit="1" customWidth="1"/>
    <col min="8" max="8" width="10.7109375" bestFit="1" customWidth="1"/>
    <col min="9" max="9" width="12.7109375" bestFit="1" customWidth="1"/>
    <col min="10" max="10" width="9.140625" bestFit="1" customWidth="1"/>
    <col min="11" max="11" width="20.28515625" bestFit="1" customWidth="1"/>
    <col min="12" max="12" width="14.28515625" bestFit="1" customWidth="1"/>
    <col min="13" max="13" width="23.85546875" bestFit="1" customWidth="1"/>
    <col min="14" max="14" width="30.42578125" bestFit="1" customWidth="1"/>
    <col min="15" max="15" width="9.7109375" bestFit="1" customWidth="1"/>
    <col min="16" max="16" width="15.5703125" bestFit="1" customWidth="1"/>
    <col min="17" max="17" width="19.140625" bestFit="1" customWidth="1"/>
    <col min="18" max="18" width="12.140625" bestFit="1" customWidth="1"/>
    <col min="19" max="19" width="15.140625" bestFit="1" customWidth="1"/>
    <col min="20" max="20" width="8.85546875" bestFit="1" customWidth="1"/>
    <col min="21" max="21" width="10.140625" bestFit="1" customWidth="1"/>
    <col min="22" max="22" width="19" bestFit="1" customWidth="1"/>
    <col min="23" max="23" width="10.7109375" bestFit="1" customWidth="1"/>
    <col min="24" max="24" width="10.140625" bestFit="1" customWidth="1"/>
    <col min="25" max="25" width="8.42578125" bestFit="1" customWidth="1"/>
    <col min="26" max="26" width="12.85546875" bestFit="1" customWidth="1"/>
    <col min="27" max="27" width="9.7109375" bestFit="1" customWidth="1"/>
    <col min="28" max="28" width="20.42578125" bestFit="1" customWidth="1"/>
    <col min="29" max="29" width="15.7109375" bestFit="1" customWidth="1"/>
    <col min="30" max="30" width="12.85546875" bestFit="1" customWidth="1"/>
    <col min="31" max="31" width="8.42578125" bestFit="1" customWidth="1"/>
    <col min="32" max="32" width="9.140625" bestFit="1" customWidth="1"/>
    <col min="33" max="33" width="9.42578125" bestFit="1" customWidth="1"/>
    <col min="34" max="34" width="17.85546875" bestFit="1" customWidth="1"/>
    <col min="35" max="35" width="9.140625" bestFit="1" customWidth="1"/>
    <col min="36" max="36" width="8.140625" bestFit="1" customWidth="1"/>
    <col min="37" max="37" width="10" bestFit="1" customWidth="1"/>
    <col min="38" max="38" width="8.140625" bestFit="1" customWidth="1"/>
    <col min="39" max="39" width="8.85546875" bestFit="1" customWidth="1"/>
    <col min="40" max="40" width="11.7109375" bestFit="1" customWidth="1"/>
  </cols>
  <sheetData>
    <row r="1" spans="1:39">
      <c r="A1" s="43"/>
      <c r="B1" s="166" t="s">
        <v>95</v>
      </c>
      <c r="C1" s="144" t="s">
        <v>63</v>
      </c>
      <c r="D1" s="144" t="s">
        <v>64</v>
      </c>
      <c r="E1" s="144" t="s">
        <v>66</v>
      </c>
      <c r="F1" s="144" t="s">
        <v>70</v>
      </c>
      <c r="G1" s="144" t="s">
        <v>73</v>
      </c>
      <c r="H1" s="144" t="s">
        <v>74</v>
      </c>
      <c r="I1" s="144" t="s">
        <v>78</v>
      </c>
      <c r="J1" s="144"/>
      <c r="K1" s="144" t="s">
        <v>77</v>
      </c>
      <c r="L1" s="144" t="s">
        <v>79</v>
      </c>
      <c r="M1" s="144" t="s">
        <v>82</v>
      </c>
      <c r="N1" s="144" t="s">
        <v>46</v>
      </c>
      <c r="O1" s="144" t="s">
        <v>45</v>
      </c>
      <c r="P1" s="144" t="s">
        <v>44</v>
      </c>
      <c r="Q1" s="144" t="s">
        <v>86</v>
      </c>
      <c r="R1" s="144" t="s">
        <v>88</v>
      </c>
      <c r="S1" s="144" t="s">
        <v>169</v>
      </c>
      <c r="T1" s="144" t="s">
        <v>255</v>
      </c>
      <c r="U1" s="144" t="s">
        <v>202</v>
      </c>
      <c r="V1" s="144" t="s">
        <v>264</v>
      </c>
      <c r="W1" s="144" t="s">
        <v>257</v>
      </c>
      <c r="X1" s="144" t="s">
        <v>257</v>
      </c>
      <c r="Y1" s="144" t="s">
        <v>257</v>
      </c>
      <c r="Z1" s="144" t="s">
        <v>270</v>
      </c>
      <c r="AA1" s="144" t="s">
        <v>269</v>
      </c>
      <c r="AB1" s="144" t="s">
        <v>293</v>
      </c>
      <c r="AC1" s="144" t="s">
        <v>263</v>
      </c>
      <c r="AD1" s="144" t="s">
        <v>267</v>
      </c>
      <c r="AE1" s="144" t="s">
        <v>257</v>
      </c>
      <c r="AF1" s="144"/>
      <c r="AG1" s="144"/>
      <c r="AH1" s="144"/>
      <c r="AI1" s="144"/>
      <c r="AJ1" s="144"/>
      <c r="AK1" s="164"/>
      <c r="AL1" s="164"/>
      <c r="AM1" s="165"/>
    </row>
    <row r="2" spans="1:39" ht="13.5" thickBot="1">
      <c r="A2" s="168" t="s">
        <v>5</v>
      </c>
      <c r="B2" s="167" t="s">
        <v>18</v>
      </c>
      <c r="C2" s="148" t="s">
        <v>13</v>
      </c>
      <c r="D2" s="148" t="s">
        <v>50</v>
      </c>
      <c r="E2" s="148" t="s">
        <v>21</v>
      </c>
      <c r="F2" s="148" t="s">
        <v>24</v>
      </c>
      <c r="G2" s="148" t="s">
        <v>26</v>
      </c>
      <c r="H2" s="148" t="s">
        <v>27</v>
      </c>
      <c r="I2" s="148" t="s">
        <v>28</v>
      </c>
      <c r="J2" s="148" t="s">
        <v>29</v>
      </c>
      <c r="K2" s="148" t="s">
        <v>30</v>
      </c>
      <c r="L2" s="148" t="s">
        <v>32</v>
      </c>
      <c r="M2" s="148" t="s">
        <v>33</v>
      </c>
      <c r="N2" s="148" t="s">
        <v>35</v>
      </c>
      <c r="O2" s="148" t="s">
        <v>38</v>
      </c>
      <c r="P2" s="148" t="s">
        <v>40</v>
      </c>
      <c r="Q2" s="148" t="s">
        <v>48</v>
      </c>
      <c r="R2" s="148" t="s">
        <v>49</v>
      </c>
      <c r="S2" s="148" t="s">
        <v>168</v>
      </c>
      <c r="T2" s="148" t="s">
        <v>200</v>
      </c>
      <c r="U2" s="148" t="s">
        <v>201</v>
      </c>
      <c r="V2" s="148" t="s">
        <v>218</v>
      </c>
      <c r="W2" s="148" t="s">
        <v>219</v>
      </c>
      <c r="X2" s="148" t="s">
        <v>234</v>
      </c>
      <c r="Y2" s="148" t="s">
        <v>235</v>
      </c>
      <c r="Z2" s="148" t="s">
        <v>237</v>
      </c>
      <c r="AA2" s="148" t="s">
        <v>245</v>
      </c>
      <c r="AB2" s="148" t="s">
        <v>247</v>
      </c>
      <c r="AC2" s="148" t="s">
        <v>251</v>
      </c>
      <c r="AD2" s="148" t="s">
        <v>248</v>
      </c>
      <c r="AE2" s="148" t="s">
        <v>252</v>
      </c>
      <c r="AF2" s="148" t="s">
        <v>137</v>
      </c>
      <c r="AG2" s="148" t="s">
        <v>275</v>
      </c>
      <c r="AH2" s="148" t="s">
        <v>276</v>
      </c>
      <c r="AI2" s="148" t="s">
        <v>277</v>
      </c>
      <c r="AJ2" s="148" t="s">
        <v>280</v>
      </c>
      <c r="AK2" s="148" t="s">
        <v>281</v>
      </c>
      <c r="AL2" s="148" t="s">
        <v>282</v>
      </c>
      <c r="AM2" s="149" t="s">
        <v>283</v>
      </c>
    </row>
    <row r="3" spans="1:39">
      <c r="A3" s="137">
        <v>40026</v>
      </c>
      <c r="B3" s="133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30"/>
    </row>
    <row r="4" spans="1:39">
      <c r="A4" s="107">
        <v>40057</v>
      </c>
      <c r="B4" s="104"/>
      <c r="C4" s="97">
        <v>6087.25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8"/>
    </row>
    <row r="5" spans="1:39">
      <c r="A5" s="107">
        <v>40087</v>
      </c>
      <c r="B5" s="104">
        <v>2550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</row>
    <row r="6" spans="1:39">
      <c r="A6" s="107">
        <v>40118</v>
      </c>
      <c r="B6" s="104"/>
      <c r="C6" s="97">
        <v>20666.89</v>
      </c>
      <c r="D6" s="97">
        <f>14896+1211.24+2417.95+2500</f>
        <v>21025.19</v>
      </c>
      <c r="E6" s="97">
        <v>21723.18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8"/>
    </row>
    <row r="7" spans="1:39">
      <c r="A7" s="107">
        <v>40148</v>
      </c>
      <c r="B7" s="104">
        <f>1450+3350</f>
        <v>4800</v>
      </c>
      <c r="C7" s="97"/>
      <c r="D7" s="97">
        <v>2500</v>
      </c>
      <c r="E7" s="97"/>
      <c r="F7" s="97">
        <v>443.5</v>
      </c>
      <c r="G7" s="97">
        <v>1380</v>
      </c>
      <c r="H7" s="97">
        <v>959</v>
      </c>
      <c r="I7" s="97">
        <f>147644.32+87404.6</f>
        <v>235048.92</v>
      </c>
      <c r="J7" s="97">
        <v>16000</v>
      </c>
      <c r="K7" s="97">
        <v>36400</v>
      </c>
      <c r="L7" s="97">
        <f>765+765+765</f>
        <v>2295</v>
      </c>
      <c r="M7" s="97">
        <v>4800</v>
      </c>
      <c r="N7" s="97">
        <f>704.85+4760</f>
        <v>5464.85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</row>
    <row r="8" spans="1:39">
      <c r="A8" s="107">
        <v>40179</v>
      </c>
      <c r="B8" s="104">
        <f>670</f>
        <v>670</v>
      </c>
      <c r="C8" s="97">
        <f>960+64443.13</f>
        <v>65403.13</v>
      </c>
      <c r="D8" s="97">
        <f>1212.3+2500+2500</f>
        <v>6212.3</v>
      </c>
      <c r="E8" s="97">
        <v>979</v>
      </c>
      <c r="F8" s="97">
        <v>1930</v>
      </c>
      <c r="G8" s="97"/>
      <c r="H8" s="97"/>
      <c r="I8" s="97">
        <f>89169.12+75098.9</f>
        <v>164268.01999999999</v>
      </c>
      <c r="J8" s="97"/>
      <c r="K8" s="97"/>
      <c r="L8" s="97"/>
      <c r="M8" s="97">
        <v>7200</v>
      </c>
      <c r="N8" s="97">
        <f>5040+7351.5</f>
        <v>12391.5</v>
      </c>
      <c r="O8" s="97">
        <v>10939.2</v>
      </c>
      <c r="P8" s="97">
        <f>4643.85+1937.4</f>
        <v>6581.25</v>
      </c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8"/>
    </row>
    <row r="9" spans="1:39">
      <c r="A9" s="107">
        <v>40210</v>
      </c>
      <c r="B9" s="104"/>
      <c r="C9" s="97"/>
      <c r="D9" s="97"/>
      <c r="E9" s="97"/>
      <c r="F9" s="97">
        <f>4680</f>
        <v>4680</v>
      </c>
      <c r="G9" s="97"/>
      <c r="H9" s="97"/>
      <c r="I9" s="97">
        <v>145942.79999999999</v>
      </c>
      <c r="J9" s="97">
        <f>2450+11000+780+5400</f>
        <v>19630</v>
      </c>
      <c r="K9" s="97"/>
      <c r="L9" s="97"/>
      <c r="M9" s="97"/>
      <c r="N9" s="97">
        <v>9800</v>
      </c>
      <c r="O9" s="97"/>
      <c r="P9" s="97"/>
      <c r="Q9" s="97">
        <v>1200</v>
      </c>
      <c r="R9" s="97">
        <f>185.2+416.28+565.28</f>
        <v>1166.76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</row>
    <row r="10" spans="1:39">
      <c r="A10" s="107">
        <v>40238</v>
      </c>
      <c r="B10" s="104"/>
      <c r="C10" s="97">
        <f>18930.32+29757+105162.39+6400</f>
        <v>160249.71</v>
      </c>
      <c r="D10" s="97">
        <f>7881.38-2500</f>
        <v>5381.38</v>
      </c>
      <c r="E10" s="97">
        <f>15274.88+4879</f>
        <v>20153.879999999997</v>
      </c>
      <c r="F10" s="97">
        <v>5295</v>
      </c>
      <c r="G10" s="97">
        <f>385+850</f>
        <v>1235</v>
      </c>
      <c r="H10" s="97"/>
      <c r="I10" s="97">
        <f>12384.6</f>
        <v>12384.6</v>
      </c>
      <c r="J10" s="97"/>
      <c r="K10" s="97">
        <v>9100</v>
      </c>
      <c r="L10" s="97"/>
      <c r="M10" s="97"/>
      <c r="N10" s="97"/>
      <c r="O10" s="97"/>
      <c r="P10" s="97"/>
      <c r="Q10" s="97"/>
      <c r="R10" s="97">
        <f>565.28+3470</f>
        <v>4035.2799999999997</v>
      </c>
      <c r="S10" s="97">
        <f>10547</f>
        <v>10547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8"/>
    </row>
    <row r="11" spans="1:39">
      <c r="A11" s="107">
        <v>40269</v>
      </c>
      <c r="B11" s="104">
        <v>4995</v>
      </c>
      <c r="C11" s="97">
        <v>20987.4</v>
      </c>
      <c r="D11" s="97">
        <v>450</v>
      </c>
      <c r="E11" s="97">
        <f>+-21723.18-15274.88-4879</f>
        <v>-41877.06</v>
      </c>
      <c r="F11" s="97">
        <f>20419.56</f>
        <v>20419.560000000001</v>
      </c>
      <c r="G11" s="97">
        <v>1150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>
        <f>50064+18423</f>
        <v>68487</v>
      </c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140"/>
      <c r="AF11" s="140"/>
      <c r="AG11" s="140"/>
      <c r="AH11" s="140"/>
      <c r="AI11" s="140"/>
      <c r="AJ11" s="140"/>
      <c r="AK11" s="140"/>
      <c r="AL11" s="140"/>
      <c r="AM11" s="141"/>
    </row>
    <row r="12" spans="1:39">
      <c r="A12" s="107">
        <v>40299</v>
      </c>
      <c r="B12" s="104">
        <f>1250+1250</f>
        <v>2500</v>
      </c>
      <c r="C12" s="97"/>
      <c r="D12" s="97">
        <v>1550</v>
      </c>
      <c r="E12" s="97"/>
      <c r="F12" s="97">
        <f>560+20826.28+8550.44+1360+1150+8485.7</f>
        <v>40932.42</v>
      </c>
      <c r="G12" s="97">
        <v>-1150</v>
      </c>
      <c r="H12" s="97"/>
      <c r="I12" s="97"/>
      <c r="J12" s="97">
        <f>2100+800+1120+495</f>
        <v>4515</v>
      </c>
      <c r="K12" s="97"/>
      <c r="L12" s="97"/>
      <c r="M12" s="97"/>
      <c r="N12" s="97"/>
      <c r="O12" s="97"/>
      <c r="P12" s="97"/>
      <c r="Q12" s="97">
        <v>7420.65</v>
      </c>
      <c r="R12" s="97">
        <v>-565.28</v>
      </c>
      <c r="S12" s="97"/>
      <c r="T12" s="97">
        <f>3285.25+3639</f>
        <v>6924.25</v>
      </c>
      <c r="U12" s="97">
        <v>2430</v>
      </c>
      <c r="V12" s="97">
        <f>3738.49-3738.49+2022.4+3470.88+13883.51</f>
        <v>19376.79</v>
      </c>
      <c r="W12" s="97">
        <f>850+4884+1907</f>
        <v>7641</v>
      </c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8"/>
    </row>
    <row r="13" spans="1:39">
      <c r="A13" s="107">
        <v>40330</v>
      </c>
      <c r="B13" s="104"/>
      <c r="C13" s="97"/>
      <c r="D13" s="97"/>
      <c r="E13" s="97"/>
      <c r="F13" s="97"/>
      <c r="G13" s="97"/>
      <c r="H13" s="97"/>
      <c r="I13" s="97"/>
      <c r="J13" s="97"/>
      <c r="K13" s="97"/>
      <c r="L13" s="97">
        <v>765</v>
      </c>
      <c r="M13" s="97"/>
      <c r="N13" s="97"/>
      <c r="O13" s="97"/>
      <c r="P13" s="97"/>
      <c r="Q13" s="97"/>
      <c r="R13" s="97"/>
      <c r="S13" s="97"/>
      <c r="T13" s="97">
        <v>1400</v>
      </c>
      <c r="U13" s="97">
        <v>2430</v>
      </c>
      <c r="V13" s="97">
        <v>3064.27</v>
      </c>
      <c r="W13" s="97"/>
      <c r="X13" s="97">
        <f>840+15997.46+21600</f>
        <v>38437.46</v>
      </c>
      <c r="Y13" s="97">
        <f>320+360</f>
        <v>680</v>
      </c>
      <c r="Z13" s="97">
        <v>3196.78</v>
      </c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8"/>
    </row>
    <row r="14" spans="1:39">
      <c r="A14" s="107">
        <v>40360</v>
      </c>
      <c r="B14" s="104">
        <f>7600+4355</f>
        <v>11955</v>
      </c>
      <c r="C14" s="97"/>
      <c r="D14" s="97"/>
      <c r="E14" s="97"/>
      <c r="F14" s="97">
        <f>920+36294</f>
        <v>37214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>
        <v>130240</v>
      </c>
      <c r="V14" s="97">
        <v>10000</v>
      </c>
      <c r="W14" s="97">
        <f>90+67.5</f>
        <v>157.5</v>
      </c>
      <c r="X14" s="97">
        <f>-840+2800+26000+9598.48</f>
        <v>37558.479999999996</v>
      </c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8"/>
    </row>
    <row r="15" spans="1:39">
      <c r="A15" s="107">
        <v>40391</v>
      </c>
      <c r="B15" s="104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>
        <f>13942</f>
        <v>13942</v>
      </c>
      <c r="T15" s="97"/>
      <c r="U15" s="97"/>
      <c r="V15" s="97"/>
      <c r="W15" s="97">
        <f>1117.52</f>
        <v>1117.52</v>
      </c>
      <c r="X15" s="97">
        <f>-26000-2800+6500+5200+1300</f>
        <v>-15800</v>
      </c>
      <c r="Y15" s="97">
        <v>2368</v>
      </c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8"/>
    </row>
    <row r="16" spans="1:39">
      <c r="A16" s="107">
        <v>40422</v>
      </c>
      <c r="B16" s="104"/>
      <c r="C16" s="97">
        <f>400+800</f>
        <v>1200</v>
      </c>
      <c r="D16" s="97"/>
      <c r="E16" s="97">
        <v>-979</v>
      </c>
      <c r="F16" s="97">
        <v>19817.04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>
        <f>3000+1395+765+3300+9000+1485+1358.5+1057.5+1147.5</f>
        <v>22508.5</v>
      </c>
      <c r="X16" s="97"/>
      <c r="Y16" s="97"/>
      <c r="Z16" s="97"/>
      <c r="AA16" s="97">
        <v>7373.63</v>
      </c>
      <c r="AB16" s="97">
        <f>1790+980+350</f>
        <v>3120</v>
      </c>
      <c r="AC16" s="97">
        <v>697.5</v>
      </c>
      <c r="AD16" s="97">
        <f>8091.2+4744.6</f>
        <v>12835.8</v>
      </c>
      <c r="AE16" s="97"/>
      <c r="AF16" s="97"/>
      <c r="AG16" s="97"/>
      <c r="AH16" s="97"/>
      <c r="AI16" s="97"/>
      <c r="AJ16" s="97"/>
      <c r="AK16" s="97"/>
      <c r="AL16" s="97"/>
      <c r="AM16" s="98"/>
    </row>
    <row r="17" spans="1:40">
      <c r="A17" s="107">
        <v>40452</v>
      </c>
      <c r="B17" s="104"/>
      <c r="C17" s="97">
        <f>2000</f>
        <v>2000</v>
      </c>
      <c r="D17" s="97"/>
      <c r="E17" s="97"/>
      <c r="F17" s="97">
        <f>4041</f>
        <v>4041</v>
      </c>
      <c r="G17" s="97"/>
      <c r="H17" s="97"/>
      <c r="I17" s="97"/>
      <c r="J17" s="97"/>
      <c r="K17" s="97"/>
      <c r="L17" s="97">
        <v>2473.5</v>
      </c>
      <c r="M17" s="97"/>
      <c r="N17" s="97"/>
      <c r="O17" s="97"/>
      <c r="P17" s="97"/>
      <c r="Q17" s="97">
        <f>822.6</f>
        <v>822.6</v>
      </c>
      <c r="R17" s="97"/>
      <c r="S17" s="97"/>
      <c r="T17" s="97"/>
      <c r="U17" s="97"/>
      <c r="V17" s="97"/>
      <c r="W17" s="97">
        <f>1080+180</f>
        <v>1260</v>
      </c>
      <c r="X17" s="97"/>
      <c r="Y17" s="97"/>
      <c r="Z17" s="97"/>
      <c r="AA17" s="97"/>
      <c r="AB17" s="97"/>
      <c r="AC17" s="97">
        <f>7728.45</f>
        <v>7728.45</v>
      </c>
      <c r="AD17" s="97">
        <f>14853.02+5648</f>
        <v>20501.02</v>
      </c>
      <c r="AE17" s="97">
        <f>543.34+217.14</f>
        <v>760.48</v>
      </c>
      <c r="AF17" s="97"/>
      <c r="AG17" s="97"/>
      <c r="AH17" s="97"/>
      <c r="AI17" s="97"/>
      <c r="AJ17" s="97"/>
      <c r="AK17" s="97"/>
      <c r="AL17" s="97"/>
      <c r="AM17" s="98"/>
    </row>
    <row r="18" spans="1:40" ht="15">
      <c r="A18" s="107">
        <v>40483</v>
      </c>
      <c r="B18" s="104"/>
      <c r="C18" s="97">
        <f>4600+9954+4000</f>
        <v>18554</v>
      </c>
      <c r="D18" s="97"/>
      <c r="E18" s="97"/>
      <c r="F18" s="97">
        <v>4587.5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>
        <f>5310.3</f>
        <v>5310.3</v>
      </c>
      <c r="R18" s="97"/>
      <c r="S18" s="97"/>
      <c r="T18" s="97"/>
      <c r="U18" s="97"/>
      <c r="V18" s="97"/>
      <c r="W18" s="97">
        <f>540+9631+3600</f>
        <v>13771</v>
      </c>
      <c r="X18" s="97"/>
      <c r="Y18" s="97"/>
      <c r="Z18" s="97"/>
      <c r="AA18" s="97"/>
      <c r="AB18" s="97"/>
      <c r="AC18" s="97"/>
      <c r="AD18" s="97"/>
      <c r="AE18" s="170"/>
      <c r="AF18" s="97"/>
      <c r="AG18" s="97">
        <f>23400+6237</f>
        <v>29637</v>
      </c>
      <c r="AH18" s="97">
        <v>220.72</v>
      </c>
      <c r="AI18" s="97">
        <v>31600.07</v>
      </c>
      <c r="AJ18" s="97"/>
      <c r="AK18" s="97"/>
      <c r="AL18" s="97"/>
      <c r="AM18" s="98"/>
    </row>
    <row r="19" spans="1:40">
      <c r="A19" s="107">
        <v>40513</v>
      </c>
      <c r="B19" s="104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>
        <f>8750+900</f>
        <v>9650</v>
      </c>
      <c r="AG19" s="97"/>
      <c r="AH19" s="97"/>
      <c r="AI19" s="97"/>
      <c r="AJ19" s="97">
        <f>622+541.65</f>
        <v>1163.6500000000001</v>
      </c>
      <c r="AK19" s="97"/>
      <c r="AL19" s="97"/>
      <c r="AM19" s="98"/>
    </row>
    <row r="20" spans="1:40">
      <c r="A20" s="107">
        <v>40544</v>
      </c>
      <c r="B20" s="104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>
        <f>3118+5149</f>
        <v>8267</v>
      </c>
      <c r="X20" s="97">
        <f>16473.55+32930.51</f>
        <v>49404.06</v>
      </c>
      <c r="Y20" s="97"/>
      <c r="Z20" s="97"/>
      <c r="AA20" s="97"/>
      <c r="AB20" s="97"/>
      <c r="AC20" s="97"/>
      <c r="AD20" s="97"/>
      <c r="AE20" s="97"/>
      <c r="AF20" s="97">
        <f>1900+4800</f>
        <v>6700</v>
      </c>
      <c r="AG20" s="97"/>
      <c r="AH20" s="97"/>
      <c r="AI20" s="97"/>
      <c r="AJ20" s="97"/>
      <c r="AK20" s="97">
        <v>2400</v>
      </c>
      <c r="AL20" s="97">
        <v>3570</v>
      </c>
      <c r="AM20" s="98"/>
    </row>
    <row r="21" spans="1:40">
      <c r="A21" s="107">
        <v>40575</v>
      </c>
      <c r="B21" s="104"/>
      <c r="C21" s="97">
        <f>3236.2-3236.2</f>
        <v>0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8"/>
    </row>
    <row r="22" spans="1:40">
      <c r="A22" s="107">
        <v>40603</v>
      </c>
      <c r="B22" s="104"/>
      <c r="C22" s="97"/>
      <c r="D22" s="97"/>
      <c r="E22" s="97"/>
      <c r="F22" s="97">
        <v>5856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8">
        <f>3088.61+1200</f>
        <v>4288.6100000000006</v>
      </c>
    </row>
    <row r="23" spans="1:40" ht="13.5" thickBot="1">
      <c r="A23" s="108">
        <v>40634</v>
      </c>
      <c r="B23" s="105"/>
      <c r="C23" s="100"/>
      <c r="D23" s="100"/>
      <c r="E23" s="100">
        <v>1140</v>
      </c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>
        <f>3335.64+7018.09</f>
        <v>10353.73</v>
      </c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28"/>
    </row>
    <row r="24" spans="1:40" ht="13.5" thickBot="1"/>
    <row r="25" spans="1:40" ht="13.5" thickBot="1">
      <c r="A25" s="169" t="s">
        <v>177</v>
      </c>
      <c r="B25" s="138">
        <f>SUM(B3:B24)</f>
        <v>27470</v>
      </c>
      <c r="C25" s="102">
        <f>SUM(C3:C24)</f>
        <v>295148.38</v>
      </c>
      <c r="D25" s="102">
        <f>SUM(D3:D24)</f>
        <v>37118.869999999995</v>
      </c>
      <c r="E25" s="102">
        <f>SUM(E3:E24)</f>
        <v>1140</v>
      </c>
      <c r="F25" s="102">
        <f>SUM(F3:F24)</f>
        <v>145216.01999999999</v>
      </c>
      <c r="G25" s="102">
        <f>SUM(G3:G24)</f>
        <v>2615</v>
      </c>
      <c r="H25" s="102">
        <f>SUM(H3:H24)</f>
        <v>959</v>
      </c>
      <c r="I25" s="102">
        <f>SUM(I3:I24)</f>
        <v>557644.34</v>
      </c>
      <c r="J25" s="102">
        <f>SUM(J3:J24)</f>
        <v>40145</v>
      </c>
      <c r="K25" s="102">
        <f>SUM(K3:K24)</f>
        <v>45500</v>
      </c>
      <c r="L25" s="102">
        <f>SUM(L3:L24)</f>
        <v>5533.5</v>
      </c>
      <c r="M25" s="102">
        <f>SUM(M3:M24)</f>
        <v>12000</v>
      </c>
      <c r="N25" s="102">
        <f>SUM(N3:N24)</f>
        <v>27656.35</v>
      </c>
      <c r="O25" s="102">
        <f>SUM(O3:O24)</f>
        <v>10939.2</v>
      </c>
      <c r="P25" s="102">
        <f>SUM(P3:P24)</f>
        <v>6581.25</v>
      </c>
      <c r="Q25" s="102">
        <f>SUM(Q3:Q24)</f>
        <v>14753.55</v>
      </c>
      <c r="R25" s="102">
        <f>SUM(R3:R24)</f>
        <v>4636.76</v>
      </c>
      <c r="S25" s="102">
        <f>SUM(S3:S24)</f>
        <v>92976</v>
      </c>
      <c r="T25" s="102">
        <f>SUM(T3:T24)</f>
        <v>8324.25</v>
      </c>
      <c r="U25" s="102">
        <f>SUM(U3:U24)</f>
        <v>135100</v>
      </c>
      <c r="V25" s="102">
        <f>SUM(V3:V24)</f>
        <v>32441.06</v>
      </c>
      <c r="W25" s="102">
        <f>SUM(W3:W24)</f>
        <v>65076.25</v>
      </c>
      <c r="X25" s="102">
        <f>SUM(X3:X24)</f>
        <v>109600</v>
      </c>
      <c r="Y25" s="102">
        <f>SUM(Y3:Y24)</f>
        <v>3048</v>
      </c>
      <c r="Z25" s="102">
        <f>SUM(Z3:Z24)</f>
        <v>3196.78</v>
      </c>
      <c r="AA25" s="102">
        <f>SUM(AA3:AA24)</f>
        <v>7373.63</v>
      </c>
      <c r="AB25" s="102">
        <f>SUM(AB3:AB24)</f>
        <v>3120</v>
      </c>
      <c r="AC25" s="102">
        <f>SUM(AC3:AC24)</f>
        <v>8425.9500000000007</v>
      </c>
      <c r="AD25" s="102">
        <f>SUM(AD3:AD24)</f>
        <v>33336.82</v>
      </c>
      <c r="AE25" s="102">
        <f>SUM(AE3:AE24)</f>
        <v>760.48</v>
      </c>
      <c r="AF25" s="102">
        <f>SUM(AF3:AF24)</f>
        <v>16350</v>
      </c>
      <c r="AG25" s="102">
        <f>SUM(AG3:AG24)</f>
        <v>29637</v>
      </c>
      <c r="AH25" s="102">
        <f>SUM(AH3:AH24)</f>
        <v>220.72</v>
      </c>
      <c r="AI25" s="102">
        <f>SUM(AI3:AI24)</f>
        <v>31600.07</v>
      </c>
      <c r="AJ25" s="102">
        <f>SUM(AJ3:AJ24)</f>
        <v>1163.6500000000001</v>
      </c>
      <c r="AK25" s="102">
        <f>SUM(AK3:AK24)</f>
        <v>2400</v>
      </c>
      <c r="AL25" s="102">
        <f>SUM(AL3:AL24)</f>
        <v>3570</v>
      </c>
      <c r="AM25" s="102">
        <f>SUM(AM3:AM24)</f>
        <v>4288.6100000000006</v>
      </c>
      <c r="AN25" s="171">
        <f>SUM(B25:AM25)</f>
        <v>1827066.49</v>
      </c>
    </row>
    <row r="26" spans="1:40">
      <c r="B26" s="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Feuil1</vt:lpstr>
      <vt:lpstr>Feuil2</vt:lpstr>
      <vt:lpstr>Feuil3</vt:lpstr>
      <vt:lpstr>Feuil5</vt:lpstr>
      <vt:lpstr>Feuil4</vt:lpstr>
      <vt:lpstr>Budget</vt:lpstr>
      <vt:lpstr>Personnel</vt:lpstr>
      <vt:lpstr>COnsommables</vt:lpstr>
      <vt:lpstr>Services</vt:lpstr>
      <vt:lpstr>Electricité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f.bencomo</dc:creator>
  <cp:lastModifiedBy>.</cp:lastModifiedBy>
  <cp:lastPrinted>2012-01-25T09:12:33Z</cp:lastPrinted>
  <dcterms:created xsi:type="dcterms:W3CDTF">2007-01-19T09:13:47Z</dcterms:created>
  <dcterms:modified xsi:type="dcterms:W3CDTF">2012-01-25T13:41:35Z</dcterms:modified>
</cp:coreProperties>
</file>